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3xa\Desktop\Chemical Plants II - 2018-19\4. Cooling towers\"/>
    </mc:Choice>
  </mc:AlternateContent>
  <xr:revisionPtr revIDLastSave="0" documentId="13_ncr:1_{5FD08BD1-A412-4A40-A392-65E883524F8D}" xr6:coauthVersionLast="40" xr6:coauthVersionMax="40" xr10:uidLastSave="{00000000-0000-0000-0000-000000000000}"/>
  <bookViews>
    <workbookView xWindow="0" yWindow="0" windowWidth="23040" windowHeight="9072" activeTab="2" xr2:uid="{86F5AF6F-5BFB-41ED-921C-02514B778CCA}"/>
  </bookViews>
  <sheets>
    <sheet name="Solution" sheetId="3" r:id="rId1"/>
    <sheet name="Correlations" sheetId="1" r:id="rId2"/>
    <sheet name="Heat exchanger" sheetId="4" r:id="rId3"/>
  </sheets>
  <definedNames>
    <definedName name="A" localSheetId="0">Solution!$F$3</definedName>
    <definedName name="A">#REF!</definedName>
    <definedName name="B" localSheetId="0">Solution!$G$3</definedName>
    <definedName name="B">#REF!</definedName>
    <definedName name="CpL" localSheetId="0">Solution!$B$14</definedName>
    <definedName name="CpL">#REF!</definedName>
    <definedName name="Cu" localSheetId="0">Solution!$B$13</definedName>
    <definedName name="Cu">#REF!</definedName>
    <definedName name="DEN" localSheetId="0">Solution!$J$13</definedName>
    <definedName name="DEN">#REF!</definedName>
    <definedName name="DHev" localSheetId="0">Solution!$B$15</definedName>
    <definedName name="DHev">#REF!</definedName>
    <definedName name="dz" localSheetId="0">Solution!$F$13</definedName>
    <definedName name="dz">#REF!</definedName>
    <definedName name="Gs" localSheetId="0">Solution!$B$4</definedName>
    <definedName name="Gs">#REF!</definedName>
    <definedName name="hga" localSheetId="0">Solution!$B$16</definedName>
    <definedName name="hga">#REF!</definedName>
    <definedName name="hla" localSheetId="0">Solution!$B$17</definedName>
    <definedName name="hla">#REF!</definedName>
    <definedName name="Kua" localSheetId="0">Solution!$B$18</definedName>
    <definedName name="Kua">#REF!</definedName>
    <definedName name="P" localSheetId="0">Solution!$B$5</definedName>
    <definedName name="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9" i="3" l="1"/>
  <c r="J19" i="3" l="1"/>
  <c r="B17" i="4" l="1"/>
  <c r="B16" i="4"/>
  <c r="B12" i="4"/>
  <c r="B19" i="4" s="1"/>
  <c r="B6" i="4"/>
  <c r="B13" i="4"/>
  <c r="B14" i="4" s="1"/>
  <c r="B15" i="4" l="1"/>
  <c r="P124" i="3"/>
  <c r="O124" i="3"/>
  <c r="K19" i="3"/>
  <c r="B18" i="3"/>
  <c r="B10" i="3"/>
  <c r="B11" i="3" s="1"/>
  <c r="B12" i="3" s="1"/>
  <c r="H19" i="3" s="1"/>
  <c r="J13" i="3" l="1"/>
  <c r="I19" i="3" s="1"/>
  <c r="N19" i="3" l="1"/>
  <c r="F20" i="3" s="1"/>
  <c r="L19" i="3"/>
  <c r="H20" i="3" s="1"/>
  <c r="M19" i="3"/>
  <c r="G20" i="3" s="1"/>
  <c r="H14" i="1"/>
  <c r="K20" i="3" l="1"/>
  <c r="I20" i="3"/>
  <c r="N20" i="3" s="1"/>
  <c r="F21" i="3" s="1"/>
  <c r="D5" i="1"/>
  <c r="C12" i="1"/>
  <c r="H8" i="1"/>
  <c r="H7" i="1"/>
  <c r="H6" i="1"/>
  <c r="H5" i="1"/>
  <c r="H4" i="1"/>
  <c r="J20" i="3" l="1"/>
  <c r="L20" i="3" s="1"/>
  <c r="H21" i="3" s="1"/>
  <c r="M20" i="3"/>
  <c r="G21" i="3" s="1"/>
  <c r="B7" i="1"/>
  <c r="M2" i="1"/>
  <c r="M6" i="1"/>
  <c r="M10" i="1"/>
  <c r="M14" i="1"/>
  <c r="M18" i="1"/>
  <c r="M22" i="1"/>
  <c r="M26" i="1"/>
  <c r="M15" i="1"/>
  <c r="M27" i="1"/>
  <c r="M13" i="1"/>
  <c r="M21" i="1"/>
  <c r="M3" i="1"/>
  <c r="M7" i="1"/>
  <c r="M11" i="1"/>
  <c r="M19" i="1"/>
  <c r="M23" i="1"/>
  <c r="M25" i="1"/>
  <c r="M4" i="1"/>
  <c r="M8" i="1"/>
  <c r="M12" i="1"/>
  <c r="M16" i="1"/>
  <c r="M20" i="1"/>
  <c r="M24" i="1"/>
  <c r="M5" i="1"/>
  <c r="M9" i="1"/>
  <c r="M17" i="1"/>
  <c r="H11" i="1"/>
  <c r="H20" i="1"/>
  <c r="H22" i="1" s="1"/>
  <c r="K21" i="3" l="1"/>
  <c r="I21" i="3"/>
  <c r="E12" i="1"/>
  <c r="M21" i="3" l="1"/>
  <c r="G22" i="3" s="1"/>
  <c r="J21" i="3"/>
  <c r="L21" i="3" s="1"/>
  <c r="H22" i="3" s="1"/>
  <c r="N21" i="3"/>
  <c r="F22" i="3" s="1"/>
  <c r="I22" i="3" l="1"/>
  <c r="K22" i="3"/>
  <c r="M22" i="3" l="1"/>
  <c r="G23" i="3" s="1"/>
  <c r="J22" i="3"/>
  <c r="L22" i="3" s="1"/>
  <c r="H23" i="3" s="1"/>
  <c r="N22" i="3"/>
  <c r="F23" i="3" s="1"/>
  <c r="I23" i="3" l="1"/>
  <c r="K23" i="3"/>
  <c r="J23" i="3" l="1"/>
  <c r="L23" i="3" s="1"/>
  <c r="H24" i="3" s="1"/>
  <c r="M23" i="3"/>
  <c r="G24" i="3" s="1"/>
  <c r="N23" i="3"/>
  <c r="F24" i="3" s="1"/>
  <c r="I24" i="3" l="1"/>
  <c r="K24" i="3"/>
  <c r="J24" i="3" l="1"/>
  <c r="L24" i="3" s="1"/>
  <c r="H25" i="3" s="1"/>
  <c r="M24" i="3"/>
  <c r="G25" i="3" s="1"/>
  <c r="N24" i="3"/>
  <c r="F25" i="3" s="1"/>
  <c r="I25" i="3" l="1"/>
  <c r="N25" i="3" s="1"/>
  <c r="F26" i="3" s="1"/>
  <c r="K25" i="3"/>
  <c r="M25" i="3" l="1"/>
  <c r="G26" i="3" s="1"/>
  <c r="J25" i="3"/>
  <c r="L25" i="3" s="1"/>
  <c r="H26" i="3" s="1"/>
  <c r="K26" i="3" l="1"/>
  <c r="I26" i="3"/>
  <c r="M26" i="3" l="1"/>
  <c r="G27" i="3" s="1"/>
  <c r="J26" i="3"/>
  <c r="L26" i="3" s="1"/>
  <c r="H27" i="3" s="1"/>
  <c r="N26" i="3"/>
  <c r="F27" i="3" s="1"/>
  <c r="I27" i="3" l="1"/>
  <c r="K27" i="3"/>
  <c r="J27" i="3" l="1"/>
  <c r="L27" i="3" s="1"/>
  <c r="H28" i="3" s="1"/>
  <c r="M27" i="3"/>
  <c r="G28" i="3" s="1"/>
  <c r="N27" i="3"/>
  <c r="F28" i="3" s="1"/>
  <c r="I28" i="3" l="1"/>
  <c r="K28" i="3"/>
  <c r="J28" i="3" l="1"/>
  <c r="L28" i="3" s="1"/>
  <c r="H29" i="3" s="1"/>
  <c r="M28" i="3"/>
  <c r="G29" i="3" s="1"/>
  <c r="N28" i="3"/>
  <c r="F29" i="3" s="1"/>
  <c r="I29" i="3" l="1"/>
  <c r="N29" i="3" s="1"/>
  <c r="F30" i="3" s="1"/>
  <c r="K29" i="3"/>
  <c r="M29" i="3" l="1"/>
  <c r="G30" i="3" s="1"/>
  <c r="J29" i="3"/>
  <c r="L29" i="3" s="1"/>
  <c r="H30" i="3" s="1"/>
  <c r="I30" i="3" l="1"/>
  <c r="J30" i="3" s="1"/>
  <c r="L30" i="3" s="1"/>
  <c r="H31" i="3" s="1"/>
  <c r="K30" i="3"/>
  <c r="N30" i="3" l="1"/>
  <c r="F31" i="3" s="1"/>
  <c r="M30" i="3"/>
  <c r="G31" i="3" s="1"/>
  <c r="K31" i="3" s="1"/>
  <c r="I31" i="3" l="1"/>
  <c r="J31" i="3" s="1"/>
  <c r="L31" i="3" s="1"/>
  <c r="H32" i="3" s="1"/>
  <c r="M31" i="3" l="1"/>
  <c r="G32" i="3" s="1"/>
  <c r="N31" i="3"/>
  <c r="F32" i="3" s="1"/>
  <c r="I32" i="3" s="1"/>
  <c r="K32" i="3"/>
  <c r="J32" i="3" l="1"/>
  <c r="L32" i="3" s="1"/>
  <c r="H33" i="3" s="1"/>
  <c r="M32" i="3"/>
  <c r="G33" i="3" s="1"/>
  <c r="N32" i="3"/>
  <c r="F33" i="3" s="1"/>
  <c r="I33" i="3" l="1"/>
  <c r="N33" i="3" s="1"/>
  <c r="F34" i="3" s="1"/>
  <c r="K33" i="3"/>
  <c r="M33" i="3" l="1"/>
  <c r="G34" i="3" s="1"/>
  <c r="J33" i="3"/>
  <c r="L33" i="3" s="1"/>
  <c r="H34" i="3" s="1"/>
  <c r="K34" i="3" l="1"/>
  <c r="I34" i="3"/>
  <c r="J34" i="3" l="1"/>
  <c r="L34" i="3" s="1"/>
  <c r="H35" i="3" s="1"/>
  <c r="M34" i="3"/>
  <c r="G35" i="3" s="1"/>
  <c r="N34" i="3"/>
  <c r="F35" i="3" s="1"/>
  <c r="I35" i="3" l="1"/>
  <c r="K35" i="3"/>
  <c r="J35" i="3" l="1"/>
  <c r="L35" i="3" s="1"/>
  <c r="H36" i="3" s="1"/>
  <c r="M35" i="3"/>
  <c r="G36" i="3" s="1"/>
  <c r="N35" i="3"/>
  <c r="F36" i="3" s="1"/>
  <c r="I36" i="3" l="1"/>
  <c r="K36" i="3"/>
  <c r="J36" i="3" l="1"/>
  <c r="L36" i="3" s="1"/>
  <c r="H37" i="3" s="1"/>
  <c r="M36" i="3"/>
  <c r="G37" i="3" s="1"/>
  <c r="N36" i="3"/>
  <c r="F37" i="3" s="1"/>
  <c r="I37" i="3" l="1"/>
  <c r="N37" i="3" s="1"/>
  <c r="F38" i="3" s="1"/>
  <c r="K37" i="3"/>
  <c r="M37" i="3" l="1"/>
  <c r="G38" i="3" s="1"/>
  <c r="J37" i="3"/>
  <c r="L37" i="3" s="1"/>
  <c r="H38" i="3" s="1"/>
  <c r="K38" i="3" l="1"/>
  <c r="I38" i="3"/>
  <c r="J38" i="3" l="1"/>
  <c r="L38" i="3" s="1"/>
  <c r="H39" i="3" s="1"/>
  <c r="M38" i="3"/>
  <c r="G39" i="3" s="1"/>
  <c r="N38" i="3"/>
  <c r="F39" i="3" s="1"/>
  <c r="I39" i="3" l="1"/>
  <c r="K39" i="3"/>
  <c r="J39" i="3" l="1"/>
  <c r="L39" i="3" s="1"/>
  <c r="H40" i="3" s="1"/>
  <c r="M39" i="3"/>
  <c r="G40" i="3" s="1"/>
  <c r="N39" i="3"/>
  <c r="F40" i="3" s="1"/>
  <c r="I40" i="3" l="1"/>
  <c r="K40" i="3"/>
  <c r="J40" i="3" l="1"/>
  <c r="L40" i="3" s="1"/>
  <c r="H41" i="3" s="1"/>
  <c r="M40" i="3"/>
  <c r="G41" i="3" s="1"/>
  <c r="N40" i="3"/>
  <c r="F41" i="3" s="1"/>
  <c r="I41" i="3" l="1"/>
  <c r="N41" i="3" s="1"/>
  <c r="F42" i="3" s="1"/>
  <c r="K41" i="3"/>
  <c r="M41" i="3" l="1"/>
  <c r="G42" i="3" s="1"/>
  <c r="J41" i="3"/>
  <c r="L41" i="3" s="1"/>
  <c r="H42" i="3" s="1"/>
  <c r="K42" i="3" l="1"/>
  <c r="I42" i="3"/>
  <c r="J42" i="3" l="1"/>
  <c r="L42" i="3" s="1"/>
  <c r="H43" i="3" s="1"/>
  <c r="M42" i="3"/>
  <c r="G43" i="3" s="1"/>
  <c r="N42" i="3"/>
  <c r="F43" i="3" s="1"/>
  <c r="I43" i="3" l="1"/>
  <c r="K43" i="3"/>
  <c r="J43" i="3" l="1"/>
  <c r="L43" i="3" s="1"/>
  <c r="H44" i="3" s="1"/>
  <c r="M43" i="3"/>
  <c r="G44" i="3" s="1"/>
  <c r="N43" i="3"/>
  <c r="F44" i="3" s="1"/>
  <c r="I44" i="3" l="1"/>
  <c r="K44" i="3"/>
  <c r="J44" i="3" l="1"/>
  <c r="L44" i="3" s="1"/>
  <c r="H45" i="3" s="1"/>
  <c r="M44" i="3"/>
  <c r="G45" i="3" s="1"/>
  <c r="N44" i="3"/>
  <c r="F45" i="3" s="1"/>
  <c r="I45" i="3" l="1"/>
  <c r="N45" i="3" s="1"/>
  <c r="F46" i="3" s="1"/>
  <c r="K45" i="3"/>
  <c r="M45" i="3" l="1"/>
  <c r="G46" i="3" s="1"/>
  <c r="J45" i="3"/>
  <c r="L45" i="3" s="1"/>
  <c r="H46" i="3" s="1"/>
  <c r="I46" i="3" l="1"/>
  <c r="J46" i="3" s="1"/>
  <c r="L46" i="3" s="1"/>
  <c r="H47" i="3" s="1"/>
  <c r="K46" i="3"/>
  <c r="N46" i="3" l="1"/>
  <c r="F47" i="3" s="1"/>
  <c r="M46" i="3"/>
  <c r="G47" i="3" s="1"/>
  <c r="K47" i="3" s="1"/>
  <c r="I47" i="3" l="1"/>
  <c r="M47" i="3" s="1"/>
  <c r="G48" i="3" s="1"/>
  <c r="N47" i="3" l="1"/>
  <c r="F48" i="3" s="1"/>
  <c r="J47" i="3"/>
  <c r="L47" i="3" s="1"/>
  <c r="H48" i="3" s="1"/>
  <c r="K48" i="3"/>
  <c r="I48" i="3" l="1"/>
  <c r="M48" i="3" s="1"/>
  <c r="G49" i="3" s="1"/>
  <c r="J48" i="3" l="1"/>
  <c r="L48" i="3" s="1"/>
  <c r="H49" i="3" s="1"/>
  <c r="N48" i="3"/>
  <c r="F49" i="3" s="1"/>
  <c r="I49" i="3" s="1"/>
  <c r="N49" i="3" s="1"/>
  <c r="F50" i="3" s="1"/>
  <c r="K49" i="3"/>
  <c r="M49" i="3" l="1"/>
  <c r="G50" i="3" s="1"/>
  <c r="J49" i="3"/>
  <c r="L49" i="3" s="1"/>
  <c r="H50" i="3" s="1"/>
  <c r="K50" i="3" l="1"/>
  <c r="I50" i="3"/>
  <c r="J50" i="3" l="1"/>
  <c r="L50" i="3" s="1"/>
  <c r="H51" i="3" s="1"/>
  <c r="M50" i="3"/>
  <c r="G51" i="3" s="1"/>
  <c r="N50" i="3"/>
  <c r="F51" i="3" s="1"/>
  <c r="I51" i="3" l="1"/>
  <c r="K51" i="3"/>
  <c r="J51" i="3" l="1"/>
  <c r="L51" i="3" s="1"/>
  <c r="H52" i="3" s="1"/>
  <c r="M51" i="3"/>
  <c r="G52" i="3" s="1"/>
  <c r="N51" i="3"/>
  <c r="F52" i="3" s="1"/>
  <c r="I52" i="3" l="1"/>
  <c r="K52" i="3"/>
  <c r="J52" i="3" l="1"/>
  <c r="L52" i="3" s="1"/>
  <c r="H53" i="3" s="1"/>
  <c r="M52" i="3"/>
  <c r="G53" i="3" s="1"/>
  <c r="N52" i="3"/>
  <c r="F53" i="3" s="1"/>
  <c r="I53" i="3" l="1"/>
  <c r="N53" i="3" s="1"/>
  <c r="F54" i="3" s="1"/>
  <c r="K53" i="3"/>
  <c r="M53" i="3" l="1"/>
  <c r="G54" i="3" s="1"/>
  <c r="J53" i="3"/>
  <c r="L53" i="3" s="1"/>
  <c r="H54" i="3" s="1"/>
  <c r="I54" i="3" l="1"/>
  <c r="M54" i="3" s="1"/>
  <c r="G55" i="3" s="1"/>
  <c r="K54" i="3"/>
  <c r="N54" i="3" l="1"/>
  <c r="F55" i="3" s="1"/>
  <c r="J54" i="3"/>
  <c r="L54" i="3" s="1"/>
  <c r="H55" i="3" s="1"/>
  <c r="K55" i="3"/>
  <c r="I55" i="3" l="1"/>
  <c r="J55" i="3" s="1"/>
  <c r="L55" i="3" s="1"/>
  <c r="H56" i="3" s="1"/>
  <c r="N55" i="3"/>
  <c r="F56" i="3" s="1"/>
  <c r="M55" i="3" l="1"/>
  <c r="G56" i="3" s="1"/>
  <c r="I56" i="3"/>
  <c r="K56" i="3"/>
  <c r="J56" i="3" l="1"/>
  <c r="L56" i="3" s="1"/>
  <c r="H57" i="3" s="1"/>
  <c r="M56" i="3"/>
  <c r="G57" i="3" s="1"/>
  <c r="N56" i="3"/>
  <c r="F57" i="3" s="1"/>
  <c r="I57" i="3" l="1"/>
  <c r="N57" i="3" s="1"/>
  <c r="F58" i="3" s="1"/>
  <c r="K57" i="3"/>
  <c r="M57" i="3" l="1"/>
  <c r="G58" i="3" s="1"/>
  <c r="J57" i="3"/>
  <c r="L57" i="3" s="1"/>
  <c r="H58" i="3" s="1"/>
  <c r="K58" i="3" l="1"/>
  <c r="I58" i="3"/>
  <c r="J58" i="3" l="1"/>
  <c r="L58" i="3" s="1"/>
  <c r="H59" i="3" s="1"/>
  <c r="M58" i="3"/>
  <c r="G59" i="3" s="1"/>
  <c r="N58" i="3"/>
  <c r="F59" i="3" s="1"/>
  <c r="I59" i="3" l="1"/>
  <c r="K59" i="3"/>
  <c r="J59" i="3" l="1"/>
  <c r="L59" i="3" s="1"/>
  <c r="H60" i="3" s="1"/>
  <c r="M59" i="3"/>
  <c r="G60" i="3" s="1"/>
  <c r="N59" i="3"/>
  <c r="F60" i="3" s="1"/>
  <c r="I60" i="3" l="1"/>
  <c r="N60" i="3" s="1"/>
  <c r="F61" i="3" s="1"/>
  <c r="K60" i="3"/>
  <c r="M60" i="3" l="1"/>
  <c r="G61" i="3" s="1"/>
  <c r="J60" i="3"/>
  <c r="L60" i="3" s="1"/>
  <c r="H61" i="3" s="1"/>
  <c r="I61" i="3" l="1"/>
  <c r="M61" i="3" s="1"/>
  <c r="G62" i="3" s="1"/>
  <c r="K61" i="3"/>
  <c r="J61" i="3" l="1"/>
  <c r="L61" i="3" s="1"/>
  <c r="H62" i="3" s="1"/>
  <c r="N61" i="3"/>
  <c r="F62" i="3" s="1"/>
  <c r="I62" i="3" s="1"/>
  <c r="K62" i="3"/>
  <c r="M62" i="3" l="1"/>
  <c r="G63" i="3" s="1"/>
  <c r="J62" i="3"/>
  <c r="L62" i="3" s="1"/>
  <c r="H63" i="3" s="1"/>
  <c r="N62" i="3"/>
  <c r="F63" i="3" s="1"/>
  <c r="I63" i="3" l="1"/>
  <c r="K63" i="3"/>
  <c r="J63" i="3" l="1"/>
  <c r="L63" i="3" s="1"/>
  <c r="H64" i="3" s="1"/>
  <c r="M63" i="3"/>
  <c r="G64" i="3" s="1"/>
  <c r="N63" i="3"/>
  <c r="F64" i="3" s="1"/>
  <c r="I64" i="3" l="1"/>
  <c r="K64" i="3"/>
  <c r="J64" i="3" l="1"/>
  <c r="L64" i="3" s="1"/>
  <c r="H65" i="3" s="1"/>
  <c r="M64" i="3"/>
  <c r="G65" i="3" s="1"/>
  <c r="N64" i="3"/>
  <c r="F65" i="3" s="1"/>
  <c r="K65" i="3" l="1"/>
  <c r="I65" i="3"/>
  <c r="J65" i="3" l="1"/>
  <c r="L65" i="3" s="1"/>
  <c r="H66" i="3" s="1"/>
  <c r="M65" i="3"/>
  <c r="G66" i="3" s="1"/>
  <c r="N65" i="3"/>
  <c r="F66" i="3" s="1"/>
  <c r="I66" i="3" l="1"/>
  <c r="N66" i="3" s="1"/>
  <c r="F67" i="3" s="1"/>
  <c r="K66" i="3"/>
  <c r="M66" i="3" l="1"/>
  <c r="G67" i="3" s="1"/>
  <c r="J66" i="3"/>
  <c r="L66" i="3" s="1"/>
  <c r="H67" i="3" s="1"/>
  <c r="K67" i="3" l="1"/>
  <c r="I67" i="3"/>
  <c r="J67" i="3" l="1"/>
  <c r="L67" i="3" s="1"/>
  <c r="H68" i="3" s="1"/>
  <c r="M67" i="3"/>
  <c r="G68" i="3" s="1"/>
  <c r="N67" i="3"/>
  <c r="F68" i="3" s="1"/>
  <c r="I68" i="3" l="1"/>
  <c r="K68" i="3"/>
  <c r="J68" i="3" l="1"/>
  <c r="L68" i="3" s="1"/>
  <c r="H69" i="3" s="1"/>
  <c r="M68" i="3"/>
  <c r="G69" i="3" s="1"/>
  <c r="N68" i="3"/>
  <c r="F69" i="3" s="1"/>
  <c r="I69" i="3" l="1"/>
  <c r="K69" i="3"/>
  <c r="J69" i="3" l="1"/>
  <c r="L69" i="3" s="1"/>
  <c r="H70" i="3" s="1"/>
  <c r="M69" i="3"/>
  <c r="G70" i="3" s="1"/>
  <c r="N69" i="3"/>
  <c r="F70" i="3" s="1"/>
  <c r="I70" i="3" l="1"/>
  <c r="N70" i="3" s="1"/>
  <c r="F71" i="3" s="1"/>
  <c r="K70" i="3"/>
  <c r="M70" i="3" l="1"/>
  <c r="G71" i="3" s="1"/>
  <c r="J70" i="3"/>
  <c r="L70" i="3" s="1"/>
  <c r="H71" i="3" s="1"/>
  <c r="K71" i="3" l="1"/>
  <c r="I71" i="3"/>
  <c r="J71" i="3" l="1"/>
  <c r="L71" i="3" s="1"/>
  <c r="H72" i="3" s="1"/>
  <c r="M71" i="3"/>
  <c r="G72" i="3" s="1"/>
  <c r="N71" i="3"/>
  <c r="F72" i="3" s="1"/>
  <c r="I72" i="3" l="1"/>
  <c r="K72" i="3"/>
  <c r="J72" i="3" l="1"/>
  <c r="L72" i="3" s="1"/>
  <c r="H73" i="3" s="1"/>
  <c r="M72" i="3"/>
  <c r="G73" i="3" s="1"/>
  <c r="N72" i="3"/>
  <c r="F73" i="3" s="1"/>
  <c r="I73" i="3" l="1"/>
  <c r="K73" i="3"/>
  <c r="J73" i="3" l="1"/>
  <c r="L73" i="3" s="1"/>
  <c r="H74" i="3" s="1"/>
  <c r="M73" i="3"/>
  <c r="G74" i="3" s="1"/>
  <c r="N73" i="3"/>
  <c r="F74" i="3" s="1"/>
  <c r="I74" i="3" l="1"/>
  <c r="N74" i="3" s="1"/>
  <c r="F75" i="3" s="1"/>
  <c r="K74" i="3"/>
  <c r="M74" i="3" l="1"/>
  <c r="G75" i="3" s="1"/>
  <c r="J74" i="3"/>
  <c r="L74" i="3" s="1"/>
  <c r="H75" i="3" s="1"/>
  <c r="K75" i="3" l="1"/>
  <c r="I75" i="3"/>
  <c r="J75" i="3" l="1"/>
  <c r="L75" i="3" s="1"/>
  <c r="H76" i="3" s="1"/>
  <c r="M75" i="3"/>
  <c r="G76" i="3" s="1"/>
  <c r="N75" i="3"/>
  <c r="F76" i="3" s="1"/>
  <c r="I76" i="3" l="1"/>
  <c r="N76" i="3" s="1"/>
  <c r="F77" i="3" s="1"/>
  <c r="K76" i="3"/>
  <c r="J76" i="3" l="1"/>
  <c r="L76" i="3" s="1"/>
  <c r="H77" i="3" s="1"/>
  <c r="M76" i="3"/>
  <c r="G77" i="3" s="1"/>
  <c r="I77" i="3" l="1"/>
  <c r="K77" i="3"/>
  <c r="J77" i="3" l="1"/>
  <c r="L77" i="3" s="1"/>
  <c r="H78" i="3" s="1"/>
  <c r="M77" i="3"/>
  <c r="G78" i="3" s="1"/>
  <c r="N77" i="3"/>
  <c r="F78" i="3" s="1"/>
  <c r="I78" i="3" l="1"/>
  <c r="N78" i="3" s="1"/>
  <c r="F79" i="3" s="1"/>
  <c r="K78" i="3"/>
  <c r="M78" i="3" l="1"/>
  <c r="G79" i="3" s="1"/>
  <c r="J78" i="3"/>
  <c r="L78" i="3" s="1"/>
  <c r="H79" i="3" s="1"/>
  <c r="K79" i="3" l="1"/>
  <c r="I79" i="3"/>
  <c r="J79" i="3" l="1"/>
  <c r="L79" i="3" s="1"/>
  <c r="H80" i="3" s="1"/>
  <c r="M79" i="3"/>
  <c r="G80" i="3" s="1"/>
  <c r="N79" i="3"/>
  <c r="F80" i="3" s="1"/>
  <c r="I80" i="3" l="1"/>
  <c r="K80" i="3"/>
  <c r="J80" i="3" l="1"/>
  <c r="L80" i="3" s="1"/>
  <c r="H81" i="3" s="1"/>
  <c r="M80" i="3"/>
  <c r="G81" i="3" s="1"/>
  <c r="N80" i="3"/>
  <c r="F81" i="3" s="1"/>
  <c r="I81" i="3" l="1"/>
  <c r="K81" i="3"/>
  <c r="J81" i="3" l="1"/>
  <c r="L81" i="3" s="1"/>
  <c r="H82" i="3" s="1"/>
  <c r="M81" i="3"/>
  <c r="G82" i="3" s="1"/>
  <c r="N81" i="3"/>
  <c r="F82" i="3" s="1"/>
  <c r="I82" i="3" l="1"/>
  <c r="N82" i="3" s="1"/>
  <c r="F83" i="3" s="1"/>
  <c r="K82" i="3"/>
  <c r="M82" i="3" l="1"/>
  <c r="G83" i="3" s="1"/>
  <c r="J82" i="3"/>
  <c r="L82" i="3" s="1"/>
  <c r="H83" i="3" s="1"/>
  <c r="K83" i="3" l="1"/>
  <c r="I83" i="3"/>
  <c r="J83" i="3" l="1"/>
  <c r="L83" i="3" s="1"/>
  <c r="H84" i="3" s="1"/>
  <c r="M83" i="3"/>
  <c r="G84" i="3" s="1"/>
  <c r="N83" i="3"/>
  <c r="F84" i="3" s="1"/>
  <c r="I84" i="3" l="1"/>
  <c r="K84" i="3"/>
  <c r="J84" i="3" l="1"/>
  <c r="L84" i="3" s="1"/>
  <c r="H85" i="3" s="1"/>
  <c r="M84" i="3"/>
  <c r="G85" i="3" s="1"/>
  <c r="N84" i="3"/>
  <c r="F85" i="3" s="1"/>
  <c r="I85" i="3" l="1"/>
  <c r="K85" i="3"/>
  <c r="J85" i="3" l="1"/>
  <c r="L85" i="3" s="1"/>
  <c r="H86" i="3" s="1"/>
  <c r="M85" i="3"/>
  <c r="G86" i="3" s="1"/>
  <c r="N85" i="3"/>
  <c r="F86" i="3" s="1"/>
  <c r="I86" i="3" l="1"/>
  <c r="N86" i="3" s="1"/>
  <c r="F87" i="3" s="1"/>
  <c r="K86" i="3"/>
  <c r="M86" i="3" l="1"/>
  <c r="G87" i="3" s="1"/>
  <c r="J86" i="3"/>
  <c r="L86" i="3" s="1"/>
  <c r="H87" i="3" s="1"/>
  <c r="K87" i="3" l="1"/>
  <c r="I87" i="3"/>
  <c r="J87" i="3" l="1"/>
  <c r="L87" i="3" s="1"/>
  <c r="H88" i="3" s="1"/>
  <c r="M87" i="3"/>
  <c r="G88" i="3" s="1"/>
  <c r="N87" i="3"/>
  <c r="F88" i="3" s="1"/>
  <c r="I88" i="3" l="1"/>
  <c r="N88" i="3" s="1"/>
  <c r="F89" i="3" s="1"/>
  <c r="K88" i="3"/>
  <c r="M88" i="3" l="1"/>
  <c r="G89" i="3" s="1"/>
  <c r="J88" i="3"/>
  <c r="L88" i="3" s="1"/>
  <c r="H89" i="3" s="1"/>
  <c r="K89" i="3" l="1"/>
  <c r="I89" i="3"/>
  <c r="M89" i="3" l="1"/>
  <c r="G90" i="3" s="1"/>
  <c r="J89" i="3"/>
  <c r="L89" i="3" s="1"/>
  <c r="H90" i="3" s="1"/>
  <c r="N89" i="3"/>
  <c r="F90" i="3" s="1"/>
  <c r="I90" i="3" l="1"/>
  <c r="K90" i="3"/>
  <c r="J90" i="3" l="1"/>
  <c r="L90" i="3" s="1"/>
  <c r="H91" i="3" s="1"/>
  <c r="M90" i="3"/>
  <c r="G91" i="3" s="1"/>
  <c r="N90" i="3"/>
  <c r="F91" i="3" s="1"/>
  <c r="I91" i="3" l="1"/>
  <c r="K91" i="3"/>
  <c r="J91" i="3" l="1"/>
  <c r="L91" i="3" s="1"/>
  <c r="H92" i="3" s="1"/>
  <c r="M91" i="3"/>
  <c r="G92" i="3" s="1"/>
  <c r="N91" i="3"/>
  <c r="F92" i="3" s="1"/>
  <c r="I92" i="3" l="1"/>
  <c r="K92" i="3"/>
  <c r="J92" i="3" l="1"/>
  <c r="L92" i="3" s="1"/>
  <c r="H93" i="3" s="1"/>
  <c r="M92" i="3"/>
  <c r="G93" i="3" s="1"/>
  <c r="N92" i="3"/>
  <c r="F93" i="3" s="1"/>
  <c r="I93" i="3" l="1"/>
  <c r="N93" i="3" s="1"/>
  <c r="F94" i="3" s="1"/>
  <c r="K93" i="3"/>
  <c r="M93" i="3" l="1"/>
  <c r="G94" i="3" s="1"/>
  <c r="J93" i="3"/>
  <c r="L93" i="3" s="1"/>
  <c r="H94" i="3" s="1"/>
  <c r="I94" i="3" l="1"/>
  <c r="M94" i="3" s="1"/>
  <c r="G95" i="3" s="1"/>
  <c r="K94" i="3"/>
  <c r="N94" i="3" l="1"/>
  <c r="F95" i="3" s="1"/>
  <c r="J94" i="3"/>
  <c r="L94" i="3" s="1"/>
  <c r="H95" i="3" s="1"/>
  <c r="I95" i="3" s="1"/>
  <c r="K95" i="3"/>
  <c r="J95" i="3" l="1"/>
  <c r="L95" i="3" s="1"/>
  <c r="H96" i="3" s="1"/>
  <c r="M95" i="3"/>
  <c r="G96" i="3" s="1"/>
  <c r="N95" i="3"/>
  <c r="F96" i="3" s="1"/>
  <c r="I96" i="3" l="1"/>
  <c r="N96" i="3" s="1"/>
  <c r="F97" i="3" s="1"/>
  <c r="K96" i="3"/>
  <c r="J96" i="3" l="1"/>
  <c r="L96" i="3" s="1"/>
  <c r="H97" i="3" s="1"/>
  <c r="M96" i="3"/>
  <c r="G97" i="3" s="1"/>
  <c r="K97" i="3" l="1"/>
  <c r="I97" i="3"/>
  <c r="M97" i="3" l="1"/>
  <c r="G98" i="3" s="1"/>
  <c r="J97" i="3"/>
  <c r="L97" i="3" s="1"/>
  <c r="H98" i="3" s="1"/>
  <c r="N97" i="3"/>
  <c r="F98" i="3" s="1"/>
  <c r="I98" i="3" l="1"/>
  <c r="K98" i="3"/>
  <c r="J98" i="3" l="1"/>
  <c r="L98" i="3" s="1"/>
  <c r="H99" i="3" s="1"/>
  <c r="M98" i="3"/>
  <c r="G99" i="3" s="1"/>
  <c r="N98" i="3"/>
  <c r="F99" i="3" s="1"/>
  <c r="I99" i="3" l="1"/>
  <c r="K99" i="3"/>
  <c r="J99" i="3" l="1"/>
  <c r="L99" i="3" s="1"/>
  <c r="H100" i="3" s="1"/>
  <c r="M99" i="3"/>
  <c r="G100" i="3" s="1"/>
  <c r="N99" i="3"/>
  <c r="F100" i="3" s="1"/>
  <c r="I100" i="3" l="1"/>
  <c r="N100" i="3" s="1"/>
  <c r="F101" i="3" s="1"/>
  <c r="K100" i="3"/>
  <c r="J100" i="3" l="1"/>
  <c r="L100" i="3" s="1"/>
  <c r="H101" i="3" s="1"/>
  <c r="M100" i="3"/>
  <c r="G101" i="3" s="1"/>
  <c r="K101" i="3" l="1"/>
  <c r="I101" i="3"/>
  <c r="M101" i="3" l="1"/>
  <c r="G102" i="3" s="1"/>
  <c r="J101" i="3"/>
  <c r="L101" i="3" s="1"/>
  <c r="H102" i="3" s="1"/>
  <c r="N101" i="3"/>
  <c r="F102" i="3" s="1"/>
  <c r="I102" i="3" l="1"/>
  <c r="N102" i="3" s="1"/>
  <c r="F103" i="3" s="1"/>
  <c r="K102" i="3"/>
  <c r="J102" i="3" l="1"/>
  <c r="L102" i="3" s="1"/>
  <c r="H103" i="3" s="1"/>
  <c r="M102" i="3"/>
  <c r="G103" i="3" s="1"/>
  <c r="I103" i="3" l="1"/>
  <c r="K103" i="3"/>
  <c r="J103" i="3" l="1"/>
  <c r="L103" i="3" s="1"/>
  <c r="H104" i="3" s="1"/>
  <c r="M103" i="3"/>
  <c r="G104" i="3" s="1"/>
  <c r="N103" i="3"/>
  <c r="F104" i="3" s="1"/>
  <c r="I104" i="3" l="1"/>
  <c r="K104" i="3"/>
  <c r="J104" i="3" l="1"/>
  <c r="L104" i="3" s="1"/>
  <c r="H105" i="3" s="1"/>
  <c r="M104" i="3"/>
  <c r="G105" i="3" s="1"/>
  <c r="N104" i="3"/>
  <c r="F105" i="3" s="1"/>
  <c r="I105" i="3" l="1"/>
  <c r="N105" i="3" s="1"/>
  <c r="F106" i="3" s="1"/>
  <c r="K105" i="3"/>
  <c r="M105" i="3" l="1"/>
  <c r="G106" i="3" s="1"/>
  <c r="J105" i="3"/>
  <c r="L105" i="3" s="1"/>
  <c r="H106" i="3" s="1"/>
  <c r="K106" i="3" l="1"/>
  <c r="I106" i="3"/>
  <c r="J106" i="3" l="1"/>
  <c r="L106" i="3" s="1"/>
  <c r="H107" i="3" s="1"/>
  <c r="M106" i="3"/>
  <c r="G107" i="3" s="1"/>
  <c r="N106" i="3"/>
  <c r="F107" i="3" s="1"/>
  <c r="I107" i="3" l="1"/>
  <c r="N107" i="3" s="1"/>
  <c r="F108" i="3" s="1"/>
  <c r="K107" i="3"/>
  <c r="J107" i="3" l="1"/>
  <c r="L107" i="3" s="1"/>
  <c r="H108" i="3" s="1"/>
  <c r="M107" i="3"/>
  <c r="G108" i="3" s="1"/>
  <c r="I108" i="3" l="1"/>
  <c r="M108" i="3" s="1"/>
  <c r="G109" i="3" s="1"/>
  <c r="K108" i="3"/>
  <c r="N108" i="3" l="1"/>
  <c r="F109" i="3" s="1"/>
  <c r="J108" i="3"/>
  <c r="L108" i="3" s="1"/>
  <c r="H109" i="3" s="1"/>
  <c r="I109" i="3" s="1"/>
  <c r="N109" i="3" s="1"/>
  <c r="F110" i="3" s="1"/>
  <c r="K109" i="3"/>
  <c r="M109" i="3" l="1"/>
  <c r="G110" i="3" s="1"/>
  <c r="J109" i="3"/>
  <c r="L109" i="3" s="1"/>
  <c r="H110" i="3" s="1"/>
  <c r="K110" i="3" l="1"/>
  <c r="I110" i="3"/>
  <c r="J110" i="3" l="1"/>
  <c r="L110" i="3" s="1"/>
  <c r="H111" i="3" s="1"/>
  <c r="M110" i="3"/>
  <c r="G111" i="3" s="1"/>
  <c r="N110" i="3"/>
  <c r="F111" i="3" s="1"/>
  <c r="I111" i="3" l="1"/>
  <c r="K111" i="3"/>
  <c r="J111" i="3" l="1"/>
  <c r="L111" i="3" s="1"/>
  <c r="H112" i="3" s="1"/>
  <c r="M111" i="3"/>
  <c r="G112" i="3" s="1"/>
  <c r="N111" i="3"/>
  <c r="F112" i="3" s="1"/>
  <c r="I112" i="3" l="1"/>
  <c r="K112" i="3"/>
  <c r="J112" i="3" l="1"/>
  <c r="L112" i="3" s="1"/>
  <c r="H113" i="3" s="1"/>
  <c r="M112" i="3"/>
  <c r="G113" i="3" s="1"/>
  <c r="N112" i="3"/>
  <c r="F113" i="3" s="1"/>
  <c r="I113" i="3" l="1"/>
  <c r="N113" i="3" s="1"/>
  <c r="F114" i="3" s="1"/>
  <c r="K113" i="3"/>
  <c r="M113" i="3" l="1"/>
  <c r="G114" i="3" s="1"/>
  <c r="J113" i="3"/>
  <c r="L113" i="3" s="1"/>
  <c r="H114" i="3" s="1"/>
  <c r="K114" i="3" l="1"/>
  <c r="I114" i="3"/>
  <c r="J114" i="3" l="1"/>
  <c r="L114" i="3" s="1"/>
  <c r="H115" i="3" s="1"/>
  <c r="M114" i="3"/>
  <c r="G115" i="3" s="1"/>
  <c r="N114" i="3"/>
  <c r="F115" i="3" s="1"/>
  <c r="K115" i="3" l="1"/>
  <c r="I115" i="3"/>
  <c r="J115" i="3" l="1"/>
  <c r="L115" i="3" s="1"/>
  <c r="H116" i="3" s="1"/>
  <c r="M115" i="3"/>
  <c r="G116" i="3" s="1"/>
  <c r="N115" i="3"/>
  <c r="F116" i="3" s="1"/>
  <c r="I116" i="3" l="1"/>
  <c r="N116" i="3" s="1"/>
  <c r="F117" i="3" s="1"/>
  <c r="K116" i="3"/>
  <c r="J116" i="3" l="1"/>
  <c r="L116" i="3" s="1"/>
  <c r="H117" i="3" s="1"/>
  <c r="M116" i="3"/>
  <c r="G117" i="3" s="1"/>
  <c r="I117" i="3" s="1"/>
  <c r="M117" i="3" l="1"/>
  <c r="G118" i="3" s="1"/>
  <c r="J117" i="3"/>
  <c r="L117" i="3" s="1"/>
  <c r="H118" i="3" s="1"/>
  <c r="N117" i="3"/>
  <c r="F118" i="3" s="1"/>
  <c r="K117" i="3"/>
  <c r="I118" i="3" l="1"/>
  <c r="N118" i="3" s="1"/>
  <c r="F119" i="3" s="1"/>
  <c r="K118" i="3"/>
  <c r="J118" i="3" l="1"/>
  <c r="L118" i="3" s="1"/>
  <c r="H119" i="3" s="1"/>
  <c r="M118" i="3"/>
  <c r="G119" i="3" s="1"/>
  <c r="I119" i="3" l="1"/>
  <c r="K119" i="3"/>
  <c r="J119" i="3" l="1"/>
  <c r="L119" i="3" s="1"/>
  <c r="H120" i="3" s="1"/>
  <c r="M119" i="3"/>
  <c r="G120" i="3" s="1"/>
  <c r="N119" i="3"/>
  <c r="F120" i="3" s="1"/>
  <c r="I120" i="3" l="1"/>
  <c r="K120" i="3"/>
  <c r="J120" i="3" l="1"/>
  <c r="L120" i="3" s="1"/>
  <c r="H121" i="3" s="1"/>
  <c r="M120" i="3"/>
  <c r="G121" i="3" s="1"/>
  <c r="N120" i="3"/>
  <c r="F121" i="3" s="1"/>
  <c r="I121" i="3" l="1"/>
  <c r="K121" i="3"/>
  <c r="M121" i="3" l="1"/>
  <c r="G122" i="3" s="1"/>
  <c r="J121" i="3"/>
  <c r="L121" i="3" s="1"/>
  <c r="H122" i="3" s="1"/>
  <c r="N121" i="3"/>
  <c r="F122" i="3" s="1"/>
  <c r="K122" i="3" l="1"/>
  <c r="I122" i="3"/>
  <c r="J122" i="3" l="1"/>
  <c r="L122" i="3" s="1"/>
  <c r="H123" i="3" s="1"/>
  <c r="M122" i="3"/>
  <c r="G123" i="3" s="1"/>
  <c r="N122" i="3"/>
  <c r="F123" i="3" s="1"/>
  <c r="I123" i="3" l="1"/>
  <c r="N123" i="3" s="1"/>
  <c r="F124" i="3" s="1"/>
  <c r="K123" i="3"/>
  <c r="J123" i="3" l="1"/>
  <c r="L123" i="3" s="1"/>
  <c r="H124" i="3" s="1"/>
  <c r="M123" i="3"/>
  <c r="G124" i="3" s="1"/>
  <c r="K124" i="3" s="1"/>
  <c r="I124" i="3" l="1"/>
  <c r="J124" i="3" l="1"/>
  <c r="O123" i="3" s="1"/>
  <c r="M124" i="3"/>
  <c r="N124" i="3"/>
  <c r="L124" i="3" l="1"/>
  <c r="O122" i="3" l="1"/>
  <c r="P123" i="3"/>
  <c r="O121" i="3" l="1"/>
  <c r="P122" i="3"/>
  <c r="O120" i="3" l="1"/>
  <c r="P121" i="3"/>
  <c r="O119" i="3" l="1"/>
  <c r="P120" i="3"/>
  <c r="O118" i="3" l="1"/>
  <c r="P119" i="3"/>
  <c r="O117" i="3" l="1"/>
  <c r="P118" i="3"/>
  <c r="O116" i="3" l="1"/>
  <c r="P117" i="3"/>
  <c r="O115" i="3" l="1"/>
  <c r="P116" i="3"/>
  <c r="O114" i="3" l="1"/>
  <c r="P115" i="3"/>
  <c r="O113" i="3" l="1"/>
  <c r="P114" i="3"/>
  <c r="O112" i="3" l="1"/>
  <c r="P113" i="3"/>
  <c r="O111" i="3" l="1"/>
  <c r="P112" i="3"/>
  <c r="O110" i="3" l="1"/>
  <c r="P111" i="3"/>
  <c r="O109" i="3" l="1"/>
  <c r="P110" i="3"/>
  <c r="O108" i="3" l="1"/>
  <c r="P109" i="3"/>
  <c r="O107" i="3" l="1"/>
  <c r="P108" i="3"/>
  <c r="O106" i="3" l="1"/>
  <c r="P107" i="3"/>
  <c r="O105" i="3" l="1"/>
  <c r="P106" i="3"/>
  <c r="O104" i="3" l="1"/>
  <c r="P105" i="3"/>
  <c r="O103" i="3" l="1"/>
  <c r="P104" i="3"/>
  <c r="O102" i="3" l="1"/>
  <c r="P103" i="3"/>
  <c r="O101" i="3" l="1"/>
  <c r="P102" i="3"/>
  <c r="O100" i="3" l="1"/>
  <c r="P101" i="3"/>
  <c r="O99" i="3" l="1"/>
  <c r="P100" i="3"/>
  <c r="O98" i="3" l="1"/>
  <c r="P99" i="3"/>
  <c r="O97" i="3" l="1"/>
  <c r="P98" i="3"/>
  <c r="O96" i="3" l="1"/>
  <c r="P97" i="3"/>
  <c r="O95" i="3" l="1"/>
  <c r="P96" i="3"/>
  <c r="O94" i="3" l="1"/>
  <c r="P95" i="3"/>
  <c r="O93" i="3" l="1"/>
  <c r="P94" i="3"/>
  <c r="O92" i="3" l="1"/>
  <c r="P93" i="3"/>
  <c r="O91" i="3" l="1"/>
  <c r="P92" i="3"/>
  <c r="O90" i="3" l="1"/>
  <c r="P91" i="3"/>
  <c r="O89" i="3" l="1"/>
  <c r="P90" i="3"/>
  <c r="O88" i="3" l="1"/>
  <c r="P89" i="3"/>
  <c r="O87" i="3" l="1"/>
  <c r="P88" i="3"/>
  <c r="O86" i="3" l="1"/>
  <c r="P87" i="3"/>
  <c r="O85" i="3" l="1"/>
  <c r="P86" i="3"/>
  <c r="O84" i="3" l="1"/>
  <c r="P85" i="3"/>
  <c r="O83" i="3" l="1"/>
  <c r="P84" i="3"/>
  <c r="O82" i="3" l="1"/>
  <c r="P83" i="3"/>
  <c r="O81" i="3" l="1"/>
  <c r="P82" i="3"/>
  <c r="O80" i="3" l="1"/>
  <c r="P81" i="3"/>
  <c r="O79" i="3" l="1"/>
  <c r="P80" i="3"/>
  <c r="O78" i="3" l="1"/>
  <c r="P79" i="3"/>
  <c r="O77" i="3" l="1"/>
  <c r="P78" i="3"/>
  <c r="O76" i="3" l="1"/>
  <c r="P77" i="3"/>
  <c r="O75" i="3" l="1"/>
  <c r="P76" i="3"/>
  <c r="O74" i="3" l="1"/>
  <c r="P75" i="3"/>
  <c r="O73" i="3" l="1"/>
  <c r="P74" i="3"/>
  <c r="O72" i="3" l="1"/>
  <c r="P73" i="3"/>
  <c r="O71" i="3" l="1"/>
  <c r="P72" i="3"/>
  <c r="O70" i="3" l="1"/>
  <c r="P71" i="3"/>
  <c r="O69" i="3" l="1"/>
  <c r="P70" i="3"/>
  <c r="O68" i="3" l="1"/>
  <c r="P69" i="3"/>
  <c r="O67" i="3" l="1"/>
  <c r="P68" i="3"/>
  <c r="O66" i="3" l="1"/>
  <c r="P67" i="3"/>
  <c r="O65" i="3" l="1"/>
  <c r="P66" i="3"/>
  <c r="O64" i="3" l="1"/>
  <c r="P65" i="3"/>
  <c r="O63" i="3" l="1"/>
  <c r="P64" i="3"/>
  <c r="O62" i="3" l="1"/>
  <c r="P63" i="3"/>
  <c r="O61" i="3" l="1"/>
  <c r="P62" i="3"/>
  <c r="O60" i="3" l="1"/>
  <c r="P61" i="3"/>
  <c r="O59" i="3" l="1"/>
  <c r="P60" i="3"/>
  <c r="O58" i="3" l="1"/>
  <c r="P59" i="3"/>
  <c r="O57" i="3" l="1"/>
  <c r="P58" i="3"/>
  <c r="O56" i="3" l="1"/>
  <c r="P57" i="3"/>
  <c r="O55" i="3" l="1"/>
  <c r="P56" i="3"/>
  <c r="O54" i="3" l="1"/>
  <c r="P55" i="3"/>
  <c r="O53" i="3" l="1"/>
  <c r="P54" i="3"/>
  <c r="O52" i="3" l="1"/>
  <c r="P53" i="3"/>
  <c r="O51" i="3" l="1"/>
  <c r="P52" i="3"/>
  <c r="O50" i="3" l="1"/>
  <c r="P51" i="3"/>
  <c r="O49" i="3" l="1"/>
  <c r="P50" i="3"/>
  <c r="O48" i="3" l="1"/>
  <c r="P49" i="3"/>
  <c r="O47" i="3" l="1"/>
  <c r="P48" i="3"/>
  <c r="O46" i="3" l="1"/>
  <c r="P47" i="3"/>
  <c r="O45" i="3" l="1"/>
  <c r="P46" i="3"/>
  <c r="O44" i="3" l="1"/>
  <c r="P45" i="3"/>
  <c r="O43" i="3" l="1"/>
  <c r="P44" i="3"/>
  <c r="O42" i="3" l="1"/>
  <c r="P43" i="3"/>
  <c r="O41" i="3" l="1"/>
  <c r="P42" i="3"/>
  <c r="O40" i="3" l="1"/>
  <c r="P41" i="3"/>
  <c r="O39" i="3" l="1"/>
  <c r="P40" i="3"/>
  <c r="O38" i="3" l="1"/>
  <c r="P39" i="3"/>
  <c r="O37" i="3" l="1"/>
  <c r="P38" i="3"/>
  <c r="O36" i="3" l="1"/>
  <c r="P37" i="3"/>
  <c r="O35" i="3" l="1"/>
  <c r="P36" i="3"/>
  <c r="O34" i="3" l="1"/>
  <c r="P35" i="3"/>
  <c r="O33" i="3" l="1"/>
  <c r="P34" i="3"/>
  <c r="O32" i="3" l="1"/>
  <c r="P33" i="3"/>
  <c r="O31" i="3" l="1"/>
  <c r="P32" i="3"/>
  <c r="O30" i="3" l="1"/>
  <c r="P31" i="3"/>
  <c r="O29" i="3" l="1"/>
  <c r="P30" i="3"/>
  <c r="O28" i="3" l="1"/>
  <c r="P29" i="3"/>
  <c r="O27" i="3" l="1"/>
  <c r="P28" i="3"/>
  <c r="O26" i="3" l="1"/>
  <c r="P27" i="3"/>
  <c r="O25" i="3" l="1"/>
  <c r="P26" i="3"/>
  <c r="O24" i="3" l="1"/>
  <c r="P25" i="3"/>
  <c r="O23" i="3" l="1"/>
  <c r="P24" i="3"/>
  <c r="O22" i="3" l="1"/>
  <c r="P23" i="3"/>
  <c r="O21" i="3" l="1"/>
  <c r="P22" i="3"/>
  <c r="O20" i="3" l="1"/>
  <c r="P21" i="3"/>
  <c r="O19" i="3" l="1"/>
  <c r="P20" i="3"/>
  <c r="P19" i="3" l="1"/>
  <c r="T19" i="3" l="1"/>
  <c r="U19" i="3" s="1"/>
  <c r="S20" i="3"/>
</calcChain>
</file>

<file path=xl/sharedStrings.xml><?xml version="1.0" encoding="utf-8"?>
<sst xmlns="http://schemas.openxmlformats.org/spreadsheetml/2006/main" count="112" uniqueCount="91">
  <si>
    <t>cu</t>
  </si>
  <si>
    <t>kcal/kg/k</t>
  </si>
  <si>
    <t>Ta</t>
  </si>
  <si>
    <t>°C</t>
  </si>
  <si>
    <t>z</t>
  </si>
  <si>
    <t>dHev</t>
  </si>
  <si>
    <t>Pa</t>
  </si>
  <si>
    <t>Tbu</t>
  </si>
  <si>
    <t>U</t>
  </si>
  <si>
    <t>K</t>
  </si>
  <si>
    <t>Tc</t>
  </si>
  <si>
    <t>Tr</t>
  </si>
  <si>
    <t>A</t>
  </si>
  <si>
    <t>B</t>
  </si>
  <si>
    <t>L [kg/h]</t>
  </si>
  <si>
    <t>Pev</t>
  </si>
  <si>
    <t>Gs [kg/h]</t>
  </si>
  <si>
    <t>P [mmHg]</t>
  </si>
  <si>
    <t>Tin H2O [°C]</t>
  </si>
  <si>
    <t>Tout H2O [°C]</t>
  </si>
  <si>
    <t>Tin aria [°C]</t>
  </si>
  <si>
    <t>Z</t>
  </si>
  <si>
    <t>Pev(Ta) [mmHg]</t>
  </si>
  <si>
    <t>Us (Ta)</t>
  </si>
  <si>
    <t>INTEGRAZIONE</t>
  </si>
  <si>
    <t>Ua</t>
  </si>
  <si>
    <t>cu [kcal/kg*K]</t>
  </si>
  <si>
    <t>dz</t>
  </si>
  <si>
    <t>Den Ti</t>
  </si>
  <si>
    <t>CpL [kcal/kg*K]</t>
  </si>
  <si>
    <t>DeltaHev [kcal/kg]</t>
  </si>
  <si>
    <t>hg*a [kcal/m*h*K]</t>
  </si>
  <si>
    <t>hl*a [kcal/m*h*K]</t>
  </si>
  <si>
    <t>Ku*a [kcal/m*h*K]</t>
  </si>
  <si>
    <t>Ui</t>
  </si>
  <si>
    <t>Us(Tg)</t>
  </si>
  <si>
    <t>dU</t>
  </si>
  <si>
    <t>dTg</t>
  </si>
  <si>
    <t>dTl</t>
  </si>
  <si>
    <t>C1</t>
  </si>
  <si>
    <t>C2</t>
  </si>
  <si>
    <t>C3</t>
  </si>
  <si>
    <t>C4</t>
  </si>
  <si>
    <t>C5</t>
  </si>
  <si>
    <t>C6</t>
  </si>
  <si>
    <t>B1</t>
  </si>
  <si>
    <t>B2</t>
  </si>
  <si>
    <t>B3</t>
  </si>
  <si>
    <t>B4</t>
  </si>
  <si>
    <t>Vapour pressure correlation</t>
  </si>
  <si>
    <t>P</t>
  </si>
  <si>
    <t>Latent heat correlation</t>
  </si>
  <si>
    <t>T [°C]</t>
  </si>
  <si>
    <t>T[K]</t>
  </si>
  <si>
    <t>DATA</t>
  </si>
  <si>
    <t>\</t>
  </si>
  <si>
    <t>WET BULB TEMPERATURE</t>
  </si>
  <si>
    <t>Obj. Fun.</t>
  </si>
  <si>
    <t>COOLING TOWER</t>
  </si>
  <si>
    <t>dTev</t>
  </si>
  <si>
    <t>%</t>
  </si>
  <si>
    <t>kcal/kg</t>
  </si>
  <si>
    <t>z [m]</t>
  </si>
  <si>
    <t>Ti [°C]</t>
  </si>
  <si>
    <t>Tg [°C]</t>
  </si>
  <si>
    <t>Tl [°C]</t>
  </si>
  <si>
    <t>L [kg/hr]</t>
  </si>
  <si>
    <t>G [kg/hr]</t>
  </si>
  <si>
    <t>Lev [kg/hr]</t>
  </si>
  <si>
    <t>Qev [kcal/hr]</t>
  </si>
  <si>
    <t>Cp water</t>
  </si>
  <si>
    <t>Cp_w/Cp_air</t>
  </si>
  <si>
    <t>kcal/kg/K</t>
  </si>
  <si>
    <t>L</t>
  </si>
  <si>
    <t>kg/hr</t>
  </si>
  <si>
    <t>Tin_w</t>
  </si>
  <si>
    <t>Tout_w</t>
  </si>
  <si>
    <t>Tin_air</t>
  </si>
  <si>
    <t>HEAT EXCHANGER DESIGN</t>
  </si>
  <si>
    <t>dTmin</t>
  </si>
  <si>
    <t>kcal/hr/m2/K</t>
  </si>
  <si>
    <t>Tout_air</t>
  </si>
  <si>
    <t>Q</t>
  </si>
  <si>
    <t>kcal/hr</t>
  </si>
  <si>
    <t>dTwater</t>
  </si>
  <si>
    <t>G</t>
  </si>
  <si>
    <t>dT_air</t>
  </si>
  <si>
    <t>dT_in</t>
  </si>
  <si>
    <t>dT_out</t>
  </si>
  <si>
    <t>dTml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</si>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</sst>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Fill="1" applyBorder="1"/>
    <xf numFmtId="164" fontId="0" fillId="0" borderId="1" xfId="0" applyNumberFormat="1" applyFill="1" applyBorder="1"/>
    <xf numFmtId="0" fontId="0" fillId="6" borderId="1" xfId="0" applyFill="1" applyBorder="1"/>
    <xf numFmtId="0" fontId="0" fillId="7" borderId="1" xfId="0" applyFill="1" applyBorder="1"/>
    <xf numFmtId="0" fontId="0" fillId="4" borderId="1" xfId="0" applyFill="1" applyBorder="1"/>
    <xf numFmtId="2" fontId="0" fillId="6" borderId="1" xfId="0" applyNumberFormat="1" applyFill="1" applyBorder="1"/>
    <xf numFmtId="164" fontId="0" fillId="6" borderId="1" xfId="0" applyNumberFormat="1" applyFill="1" applyBorder="1"/>
    <xf numFmtId="2" fontId="0" fillId="0" borderId="0" xfId="0" applyNumberFormat="1"/>
    <xf numFmtId="0" fontId="0" fillId="0" borderId="1" xfId="0" applyFill="1" applyBorder="1"/>
    <xf numFmtId="0" fontId="0" fillId="3" borderId="5" xfId="0" applyFill="1" applyBorder="1"/>
    <xf numFmtId="0" fontId="0" fillId="0" borderId="6" xfId="0" applyBorder="1"/>
    <xf numFmtId="0" fontId="0" fillId="0" borderId="0" xfId="0" applyBorder="1"/>
    <xf numFmtId="0" fontId="0" fillId="3" borderId="6" xfId="0" applyFill="1" applyBorder="1"/>
    <xf numFmtId="0" fontId="0" fillId="0" borderId="7" xfId="0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Tl</c:v>
          </c:tx>
          <c:marker>
            <c:symbol val="none"/>
          </c:marker>
          <c:cat>
            <c:numRef>
              <c:f>Solution!$E$19:$E$124</c:f>
              <c:numCache>
                <c:formatCode>General</c:formatCode>
                <c:ptCount val="10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</c:numCache>
            </c:numRef>
          </c:cat>
          <c:val>
            <c:numRef>
              <c:f>Solution!$F$19:$F$124</c:f>
              <c:numCache>
                <c:formatCode>0.00</c:formatCode>
                <c:ptCount val="106"/>
                <c:pt idx="0">
                  <c:v>25</c:v>
                </c:pt>
                <c:pt idx="1">
                  <c:v>25.188446388552723</c:v>
                </c:pt>
                <c:pt idx="2">
                  <c:v>25.377738313437451</c:v>
                </c:pt>
                <c:pt idx="3">
                  <c:v>25.567879568474243</c:v>
                </c:pt>
                <c:pt idx="4">
                  <c:v>25.758873964505572</c:v>
                </c:pt>
                <c:pt idx="5">
                  <c:v>25.950725329472704</c:v>
                </c:pt>
                <c:pt idx="6">
                  <c:v>26.143437508492418</c:v>
                </c:pt>
                <c:pt idx="7">
                  <c:v>26.337014363934074</c:v>
                </c:pt>
                <c:pt idx="8">
                  <c:v>26.531459775497012</c:v>
                </c:pt>
                <c:pt idx="9">
                  <c:v>26.726777640288326</c:v>
                </c:pt>
                <c:pt idx="10">
                  <c:v>26.922971872900956</c:v>
                </c:pt>
                <c:pt idx="11">
                  <c:v>27.12004640549215</c:v>
                </c:pt>
                <c:pt idx="12">
                  <c:v>27.318005187862283</c:v>
                </c:pt>
                <c:pt idx="13">
                  <c:v>27.516852187533999</c:v>
                </c:pt>
                <c:pt idx="14">
                  <c:v>27.716591389831745</c:v>
                </c:pt>
                <c:pt idx="15">
                  <c:v>27.917226797961643</c:v>
                </c:pt>
                <c:pt idx="16">
                  <c:v>28.118762433091714</c:v>
                </c:pt>
                <c:pt idx="17">
                  <c:v>28.321202334432485</c:v>
                </c:pt>
                <c:pt idx="18">
                  <c:v>28.52455055931793</c:v>
                </c:pt>
                <c:pt idx="19">
                  <c:v>28.728811183286798</c:v>
                </c:pt>
                <c:pt idx="20">
                  <c:v>28.933988300164284</c:v>
                </c:pt>
                <c:pt idx="21">
                  <c:v>29.140086022144093</c:v>
                </c:pt>
                <c:pt idx="22">
                  <c:v>29.347108479870847</c:v>
                </c:pt>
                <c:pt idx="23">
                  <c:v>29.555059822522878</c:v>
                </c:pt>
                <c:pt idx="24">
                  <c:v>29.763944217895379</c:v>
                </c:pt>
                <c:pt idx="25">
                  <c:v>29.97376585248394</c:v>
                </c:pt>
                <c:pt idx="26">
                  <c:v>30.184528931568455</c:v>
                </c:pt>
                <c:pt idx="27">
                  <c:v>30.396237679297403</c:v>
                </c:pt>
                <c:pt idx="28">
                  <c:v>30.608896338772517</c:v>
                </c:pt>
                <c:pt idx="29">
                  <c:v>30.82250917213381</c:v>
                </c:pt>
                <c:pt idx="30">
                  <c:v>31.037080460645008</c:v>
                </c:pt>
                <c:pt idx="31">
                  <c:v>31.252614504779359</c:v>
                </c:pt>
                <c:pt idx="32">
                  <c:v>31.469115624305811</c:v>
                </c:pt>
                <c:pt idx="33">
                  <c:v>31.686588158375599</c:v>
                </c:pt>
                <c:pt idx="34">
                  <c:v>31.905036465609211</c:v>
                </c:pt>
                <c:pt idx="35">
                  <c:v>32.124464924183741</c:v>
                </c:pt>
                <c:pt idx="36">
                  <c:v>32.344877931920642</c:v>
                </c:pt>
                <c:pt idx="37">
                  <c:v>32.566279906373858</c:v>
                </c:pt>
                <c:pt idx="38">
                  <c:v>32.788675284918362</c:v>
                </c:pt>
                <c:pt idx="39">
                  <c:v>33.012068524839115</c:v>
                </c:pt>
                <c:pt idx="40">
                  <c:v>33.236464103420367</c:v>
                </c:pt>
                <c:pt idx="41">
                  <c:v>33.461866518035407</c:v>
                </c:pt>
                <c:pt idx="42">
                  <c:v>33.688280286236697</c:v>
                </c:pt>
                <c:pt idx="43">
                  <c:v>33.915709945846416</c:v>
                </c:pt>
                <c:pt idx="44">
                  <c:v>34.144160055047408</c:v>
                </c:pt>
                <c:pt idx="45">
                  <c:v>34.373635192474538</c:v>
                </c:pt>
                <c:pt idx="46">
                  <c:v>34.604139957306451</c:v>
                </c:pt>
                <c:pt idx="47">
                  <c:v>34.835678969357758</c:v>
                </c:pt>
                <c:pt idx="48">
                  <c:v>35.068256869171627</c:v>
                </c:pt>
                <c:pt idx="49">
                  <c:v>35.301878318112784</c:v>
                </c:pt>
                <c:pt idx="50">
                  <c:v>35.536547998460932</c:v>
                </c:pt>
                <c:pt idx="51">
                  <c:v>35.77227061350461</c:v>
                </c:pt>
                <c:pt idx="52">
                  <c:v>36.009050887635446</c:v>
                </c:pt>
                <c:pt idx="53">
                  <c:v>36.24689356644285</c:v>
                </c:pt>
                <c:pt idx="54">
                  <c:v>36.485803416809112</c:v>
                </c:pt>
                <c:pt idx="55">
                  <c:v>36.725785227004955</c:v>
                </c:pt>
                <c:pt idx="56">
                  <c:v>36.966843806785505</c:v>
                </c:pt>
                <c:pt idx="57">
                  <c:v>37.208983987486675</c:v>
                </c:pt>
                <c:pt idx="58">
                  <c:v>37.452210622122003</c:v>
                </c:pt>
                <c:pt idx="59">
                  <c:v>37.696528585479918</c:v>
                </c:pt>
                <c:pt idx="60">
                  <c:v>37.941942774221445</c:v>
                </c:pt>
                <c:pt idx="61">
                  <c:v>38.188458106978331</c:v>
                </c:pt>
                <c:pt idx="62">
                  <c:v>38.436079524451635</c:v>
                </c:pt>
                <c:pt idx="63">
                  <c:v>38.684811989510749</c:v>
                </c:pt>
                <c:pt idx="64">
                  <c:v>38.934660487292867</c:v>
                </c:pt>
                <c:pt idx="65">
                  <c:v>39.185630025302892</c:v>
                </c:pt>
                <c:pt idx="66">
                  <c:v>39.437725633513807</c:v>
                </c:pt>
                <c:pt idx="67">
                  <c:v>39.690952364467478</c:v>
                </c:pt>
                <c:pt idx="68">
                  <c:v>39.945315293375913</c:v>
                </c:pt>
                <c:pt idx="69">
                  <c:v>40.200819518222993</c:v>
                </c:pt>
                <c:pt idx="70">
                  <c:v>40.457470159866638</c:v>
                </c:pt>
                <c:pt idx="71">
                  <c:v>40.715272362141448</c:v>
                </c:pt>
                <c:pt idx="72">
                  <c:v>40.974231291961786</c:v>
                </c:pt>
                <c:pt idx="73">
                  <c:v>41.23435213942534</c:v>
                </c:pt>
                <c:pt idx="74">
                  <c:v>41.495640117917155</c:v>
                </c:pt>
                <c:pt idx="75">
                  <c:v>41.758100464214088</c:v>
                </c:pt>
                <c:pt idx="76">
                  <c:v>42.021738438589807</c:v>
                </c:pt>
                <c:pt idx="77">
                  <c:v>42.286559324920184</c:v>
                </c:pt>
                <c:pt idx="78">
                  <c:v>42.552568430789208</c:v>
                </c:pt>
                <c:pt idx="79">
                  <c:v>42.81977108759537</c:v>
                </c:pt>
                <c:pt idx="80">
                  <c:v>43.088172650658493</c:v>
                </c:pt>
                <c:pt idx="81">
                  <c:v>43.35777849932709</c:v>
                </c:pt>
                <c:pt idx="82">
                  <c:v>43.628594037086152</c:v>
                </c:pt>
                <c:pt idx="83">
                  <c:v>43.90062469166547</c:v>
                </c:pt>
                <c:pt idx="84">
                  <c:v>44.173875915148408</c:v>
                </c:pt>
                <c:pt idx="85">
                  <c:v>44.448353184081164</c:v>
                </c:pt>
                <c:pt idx="86">
                  <c:v>44.724061999582545</c:v>
                </c:pt>
                <c:pt idx="87">
                  <c:v>45.001007887454222</c:v>
                </c:pt>
                <c:pt idx="88">
                  <c:v>45.279196398291475</c:v>
                </c:pt>
                <c:pt idx="89">
                  <c:v>45.558633107594432</c:v>
                </c:pt>
                <c:pt idx="90">
                  <c:v>45.839323615879827</c:v>
                </c:pt>
                <c:pt idx="91">
                  <c:v>46.121273548793248</c:v>
                </c:pt>
                <c:pt idx="92">
                  <c:v>46.40448855722186</c:v>
                </c:pt>
                <c:pt idx="93">
                  <c:v>46.688974317407698</c:v>
                </c:pt>
                <c:pt idx="94">
                  <c:v>46.974736531061403</c:v>
                </c:pt>
                <c:pt idx="95">
                  <c:v>47.261780925476515</c:v>
                </c:pt>
                <c:pt idx="96">
                  <c:v>47.550113253644241</c:v>
                </c:pt>
                <c:pt idx="97">
                  <c:v>47.83973929436879</c:v>
                </c:pt>
                <c:pt idx="98">
                  <c:v>48.130664852383156</c:v>
                </c:pt>
                <c:pt idx="99">
                  <c:v>48.422895758465472</c:v>
                </c:pt>
                <c:pt idx="100">
                  <c:v>48.716437869555882</c:v>
                </c:pt>
                <c:pt idx="101">
                  <c:v>49.011297068873915</c:v>
                </c:pt>
                <c:pt idx="102">
                  <c:v>49.307479266036395</c:v>
                </c:pt>
                <c:pt idx="103">
                  <c:v>49.604990397175897</c:v>
                </c:pt>
                <c:pt idx="104">
                  <c:v>49.903836425059701</c:v>
                </c:pt>
                <c:pt idx="105">
                  <c:v>50.204023339209314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66-401A-9E55-D68780F7F95E}"/>
            </c:ext>
          </c:extLst>
        </c:ser>
        <c:ser>
          <c:idx val="1"/>
          <c:order val="1"/>
          <c:tx>
            <c:v>Tg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Solution!$E$19:$E$124</c:f>
              <c:numCache>
                <c:formatCode>General</c:formatCode>
                <c:ptCount val="10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</c:numCache>
            </c:numRef>
          </c:cat>
          <c:val>
            <c:numRef>
              <c:f>Solution!$G$19:$G$124</c:f>
              <c:numCache>
                <c:formatCode>0.00</c:formatCode>
                <c:ptCount val="106"/>
                <c:pt idx="0">
                  <c:v>20</c:v>
                </c:pt>
                <c:pt idx="1">
                  <c:v>20.127558024921214</c:v>
                </c:pt>
                <c:pt idx="2">
                  <c:v>20.257660385528144</c:v>
                </c:pt>
                <c:pt idx="3">
                  <c:v>20.390217369840215</c:v>
                </c:pt>
                <c:pt idx="4">
                  <c:v>20.525144049406862</c:v>
                </c:pt>
                <c:pt idx="5">
                  <c:v>20.662360034819013</c:v>
                </c:pt>
                <c:pt idx="6">
                  <c:v>20.801789243762133</c:v>
                </c:pt>
                <c:pt idx="7">
                  <c:v>20.943359680967685</c:v>
                </c:pt>
                <c:pt idx="8">
                  <c:v>21.08700322945284</c:v>
                </c:pt>
                <c:pt idx="9">
                  <c:v>21.232655452469594</c:v>
                </c:pt>
                <c:pt idx="10">
                  <c:v>21.380255405614054</c:v>
                </c:pt>
                <c:pt idx="11">
                  <c:v>21.529745458574958</c:v>
                </c:pt>
                <c:pt idx="12">
                  <c:v>21.681071126027032</c:v>
                </c:pt>
                <c:pt idx="13">
                  <c:v>21.834180907200317</c:v>
                </c:pt>
                <c:pt idx="14">
                  <c:v>21.989026133680508</c:v>
                </c:pt>
                <c:pt idx="15">
                  <c:v>22.145560825018247</c:v>
                </c:pt>
                <c:pt idx="16">
                  <c:v>22.303741551746921</c:v>
                </c:pt>
                <c:pt idx="17">
                  <c:v>22.463527305429032</c:v>
                </c:pt>
                <c:pt idx="18">
                  <c:v>22.624879375370785</c:v>
                </c:pt>
                <c:pt idx="19">
                  <c:v>22.787761231662866</c:v>
                </c:pt>
                <c:pt idx="20">
                  <c:v>22.952138414223079</c:v>
                </c:pt>
                <c:pt idx="21">
                  <c:v>23.117978427533014</c:v>
                </c:pt>
                <c:pt idx="22">
                  <c:v>23.285250640776827</c:v>
                </c:pt>
                <c:pt idx="23">
                  <c:v>23.453926193105048</c:v>
                </c:pt>
                <c:pt idx="24">
                  <c:v>23.623977903760665</c:v>
                </c:pt>
                <c:pt idx="25">
                  <c:v>23.795380186818129</c:v>
                </c:pt>
                <c:pt idx="26">
                  <c:v>23.968108970298758</c:v>
                </c:pt>
                <c:pt idx="27">
                  <c:v>24.142141619438092</c:v>
                </c:pt>
                <c:pt idx="28">
                  <c:v>24.317456863892339</c:v>
                </c:pt>
                <c:pt idx="29">
                  <c:v>24.494034728681893</c:v>
                </c:pt>
                <c:pt idx="30">
                  <c:v>24.671856468680318</c:v>
                </c:pt>
                <c:pt idx="31">
                  <c:v>24.850904506466986</c:v>
                </c:pt>
                <c:pt idx="32">
                  <c:v>25.031162373370901</c:v>
                </c:pt>
                <c:pt idx="33">
                  <c:v>25.212614653542065</c:v>
                </c:pt>
                <c:pt idx="34">
                  <c:v>25.395246930895162</c:v>
                </c:pt>
                <c:pt idx="35">
                  <c:v>25.579045738778255</c:v>
                </c:pt>
                <c:pt idx="36">
                  <c:v>25.763998512226813</c:v>
                </c:pt>
                <c:pt idx="37">
                  <c:v>25.950093542670455</c:v>
                </c:pt>
                <c:pt idx="38">
                  <c:v>26.137319934966694</c:v>
                </c:pt>
                <c:pt idx="39">
                  <c:v>26.325667566642334</c:v>
                </c:pt>
                <c:pt idx="40">
                  <c:v>26.515127049229349</c:v>
                </c:pt>
                <c:pt idx="41">
                  <c:v>26.705689691587839</c:v>
                </c:pt>
                <c:pt idx="42">
                  <c:v>26.897347465114184</c:v>
                </c:pt>
                <c:pt idx="43">
                  <c:v>27.090092970737754</c:v>
                </c:pt>
                <c:pt idx="44">
                  <c:v>27.283919407614441</c:v>
                </c:pt>
                <c:pt idx="45">
                  <c:v>27.478820543430061</c:v>
                </c:pt>
                <c:pt idx="46">
                  <c:v>27.674790686231031</c:v>
                </c:pt>
                <c:pt idx="47">
                  <c:v>27.871824657704089</c:v>
                </c:pt>
                <c:pt idx="48">
                  <c:v>28.069917767830692</c:v>
                </c:pt>
                <c:pt idx="49">
                  <c:v>28.269065790845676</c:v>
                </c:pt>
                <c:pt idx="50">
                  <c:v>28.469264942433288</c:v>
                </c:pt>
                <c:pt idx="51">
                  <c:v>28.670511858097147</c:v>
                </c:pt>
                <c:pt idx="52">
                  <c:v>28.872803572643964</c:v>
                </c:pt>
                <c:pt idx="53">
                  <c:v>29.076137500723938</c:v>
                </c:pt>
                <c:pt idx="54">
                  <c:v>29.280511418373617</c:v>
                </c:pt>
                <c:pt idx="55">
                  <c:v>29.485923445509904</c:v>
                </c:pt>
                <c:pt idx="56">
                  <c:v>29.692372029326368</c:v>
                </c:pt>
                <c:pt idx="57">
                  <c:v>29.899855928545694</c:v>
                </c:pt>
                <c:pt idx="58">
                  <c:v>30.108374198484324</c:v>
                </c:pt>
                <c:pt idx="59">
                  <c:v>30.317926176887681</c:v>
                </c:pt>
                <c:pt idx="60">
                  <c:v>30.528511470496497</c:v>
                </c:pt>
                <c:pt idx="61">
                  <c:v>30.740129942306744</c:v>
                </c:pt>
                <c:pt idx="62">
                  <c:v>30.952781699487645</c:v>
                </c:pt>
                <c:pt idx="63">
                  <c:v>31.166467081924011</c:v>
                </c:pt>
                <c:pt idx="64">
                  <c:v>31.381186651350941</c:v>
                </c:pt>
                <c:pt idx="65">
                  <c:v>31.596941181050507</c:v>
                </c:pt>
                <c:pt idx="66">
                  <c:v>31.813731646081628</c:v>
                </c:pt>
                <c:pt idx="67">
                  <c:v>32.031559214015815</c:v>
                </c:pt>
                <c:pt idx="68">
                  <c:v>32.250425236152871</c:v>
                </c:pt>
                <c:pt idx="69">
                  <c:v>32.47033123919195</c:v>
                </c:pt>
                <c:pt idx="70">
                  <c:v>32.691278917334643</c:v>
                </c:pt>
                <c:pt idx="71">
                  <c:v>32.913270124797954</c:v>
                </c:pt>
                <c:pt idx="72">
                  <c:v>33.13630686871619</c:v>
                </c:pt>
                <c:pt idx="73">
                  <c:v>33.36039130241182</c:v>
                </c:pt>
                <c:pt idx="74">
                  <c:v>33.585525719016402</c:v>
                </c:pt>
                <c:pt idx="75">
                  <c:v>33.811712545423667</c:v>
                </c:pt>
                <c:pt idx="76">
                  <c:v>34.03895433655773</c:v>
                </c:pt>
                <c:pt idx="77">
                  <c:v>34.267253769940311</c:v>
                </c:pt>
                <c:pt idx="78">
                  <c:v>34.496613640541653</c:v>
                </c:pt>
                <c:pt idx="79">
                  <c:v>34.727036855900565</c:v>
                </c:pt>
                <c:pt idx="80">
                  <c:v>34.95852643149987</c:v>
                </c:pt>
                <c:pt idx="81">
                  <c:v>35.191085486384182</c:v>
                </c:pt>
                <c:pt idx="82">
                  <c:v>35.424717239007535</c:v>
                </c:pt>
                <c:pt idx="83">
                  <c:v>35.659425003299212</c:v>
                </c:pt>
                <c:pt idx="84">
                  <c:v>35.895212184936497</c:v>
                </c:pt>
                <c:pt idx="85">
                  <c:v>36.132082277813858</c:v>
                </c:pt>
                <c:pt idx="86">
                  <c:v>36.370038860698415</c:v>
                </c:pt>
                <c:pt idx="87">
                  <c:v>36.609085594062265</c:v>
                </c:pt>
                <c:pt idx="88">
                  <c:v>36.849226217082531</c:v>
                </c:pt>
                <c:pt idx="89">
                  <c:v>37.090464544800625</c:v>
                </c:pt>
                <c:pt idx="90">
                  <c:v>37.332804465432517</c:v>
                </c:pt>
                <c:pt idx="91">
                  <c:v>37.576249937822347</c:v>
                </c:pt>
                <c:pt idx="92">
                  <c:v>37.820804989032062</c:v>
                </c:pt>
                <c:pt idx="93">
                  <c:v>38.066473712060031</c:v>
                </c:pt>
                <c:pt idx="94">
                  <c:v>38.313260263682167</c:v>
                </c:pt>
                <c:pt idx="95">
                  <c:v>38.561168862409232</c:v>
                </c:pt>
                <c:pt idx="96">
                  <c:v>38.810203786554403</c:v>
                </c:pt>
                <c:pt idx="97">
                  <c:v>39.060369372405475</c:v>
                </c:pt>
                <c:pt idx="98">
                  <c:v>39.311670012496336</c:v>
                </c:pt>
                <c:pt idx="99">
                  <c:v>39.564110153972706</c:v>
                </c:pt>
                <c:pt idx="100">
                  <c:v>39.817694297047268</c:v>
                </c:pt>
                <c:pt idx="101">
                  <c:v>40.072426993539651</c:v>
                </c:pt>
                <c:pt idx="102">
                  <c:v>40.328312845496974</c:v>
                </c:pt>
                <c:pt idx="103">
                  <c:v>40.585356503890793</c:v>
                </c:pt>
                <c:pt idx="104">
                  <c:v>40.843562667386571</c:v>
                </c:pt>
                <c:pt idx="105">
                  <c:v>41.102936081182044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66-401A-9E55-D68780F7F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365120"/>
        <c:axId val="70198016"/>
      </c:lineChart>
      <c:catAx>
        <c:axId val="8736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Packing</a:t>
                </a:r>
                <a:r>
                  <a:rPr lang="it-IT" baseline="0"/>
                  <a:t> height [m]</a:t>
                </a:r>
                <a:endParaRPr lang="it-I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0198016"/>
        <c:crosses val="autoZero"/>
        <c:auto val="1"/>
        <c:lblAlgn val="ctr"/>
        <c:lblOffset val="100"/>
        <c:noMultiLvlLbl val="0"/>
      </c:catAx>
      <c:valAx>
        <c:axId val="70198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 [°C]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736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Correlations!$K$2:$K$27</c:f>
              <c:numCache>
                <c:formatCode>General</c:formatCode>
                <c:ptCount val="2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</c:numCache>
            </c:numRef>
          </c:xVal>
          <c:yVal>
            <c:numRef>
              <c:f>Correlations!$M$2:$M$27</c:f>
              <c:numCache>
                <c:formatCode>General</c:formatCode>
                <c:ptCount val="26"/>
                <c:pt idx="0">
                  <c:v>23.771078384496988</c:v>
                </c:pt>
                <c:pt idx="1">
                  <c:v>25.225567388270871</c:v>
                </c:pt>
                <c:pt idx="2">
                  <c:v>26.757039268419121</c:v>
                </c:pt>
                <c:pt idx="3">
                  <c:v>28.368885227002405</c:v>
                </c:pt>
                <c:pt idx="4">
                  <c:v>30.064612291774186</c:v>
                </c:pt>
                <c:pt idx="5">
                  <c:v>31.847845893218643</c:v>
                </c:pt>
                <c:pt idx="6">
                  <c:v>33.722332453347605</c:v>
                </c:pt>
                <c:pt idx="7">
                  <c:v>35.691941985054527</c:v>
                </c:pt>
                <c:pt idx="8">
                  <c:v>37.760670700818196</c:v>
                </c:pt>
                <c:pt idx="9">
                  <c:v>39.932643629537395</c:v>
                </c:pt>
                <c:pt idx="10">
                  <c:v>42.212117240272221</c:v>
                </c:pt>
                <c:pt idx="11">
                  <c:v>44.603482071651072</c:v>
                </c:pt>
                <c:pt idx="12">
                  <c:v>47.111265365709066</c:v>
                </c:pt>
                <c:pt idx="13">
                  <c:v>49.740133704910605</c:v>
                </c:pt>
                <c:pt idx="14">
                  <c:v>52.494895651107932</c:v>
                </c:pt>
                <c:pt idx="15">
                  <c:v>55.380504385190726</c:v>
                </c:pt>
                <c:pt idx="16">
                  <c:v>58.402060346169925</c:v>
                </c:pt>
                <c:pt idx="17">
                  <c:v>61.564813868457904</c:v>
                </c:pt>
                <c:pt idx="18">
                  <c:v>64.874167816090278</c:v>
                </c:pt>
                <c:pt idx="19">
                  <c:v>68.335680212654793</c:v>
                </c:pt>
                <c:pt idx="20">
                  <c:v>71.955066865687044</c:v>
                </c:pt>
                <c:pt idx="21">
                  <c:v>75.738203984304761</c:v>
                </c:pt>
                <c:pt idx="22">
                  <c:v>79.691130788861514</c:v>
                </c:pt>
                <c:pt idx="23">
                  <c:v>83.820052111402873</c:v>
                </c:pt>
                <c:pt idx="24">
                  <c:v>88.131340985728187</c:v>
                </c:pt>
                <c:pt idx="25">
                  <c:v>92.631541225857873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8D-4036-83FB-FF25E2DE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3433263"/>
        <c:axId val="1545468271"/>
      </c:scatterChart>
      <c:valAx>
        <c:axId val="1543433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468271"/>
        <c:crosses val="autoZero"/>
        <c:crossBetween val="midCat"/>
      </c:valAx>
      <c:valAx>
        <c:axId val="15454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34332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18</xdr:col>
      <xdr:colOff>304800</xdr:colOff>
      <xdr:row>15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28BA761-1660-45C3-85DE-D888811D2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601980</xdr:colOff>
      <xdr:row>0</xdr:row>
      <xdr:rowOff>179070</xdr:rowOff>
    </xdr:from>
    <xdr:to>
      <xdr:col>21</xdr:col>
      <xdr:colOff>297180</xdr:colOff>
      <xdr:row>15</xdr:row>
      <xdr:rowOff>179070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80E55B4-A35B-4E38-A563-224F2F005B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CD31B-4944-4F02-A2B6-CB7669B3AC19}">
  <dimension ref="A1:U124"/>
  <sheetViews>
    <sheetView topLeftCell="A10" workbookViewId="0">
      <selection activeCell="S19" sqref="S19"/>
    </sheetView>
  </sheetViews>
  <sheetFormatPr defaultRowHeight="14.4" x14ac:dyDescent="0.3"/>
  <cols>
    <col min="1" max="1" width="17.5546875" bestFit="1" customWidth="1"/>
    <col min="19" max="19" width="9.77734375" customWidth="1"/>
    <col min="20" max="20" width="11.77734375" bestFit="1" customWidth="1"/>
  </cols>
  <sheetData>
    <row r="1" spans="1:10" ht="19.8" x14ac:dyDescent="0.4">
      <c r="A1" s="22" t="s">
        <v>58</v>
      </c>
      <c r="B1" s="23"/>
      <c r="C1" s="24"/>
    </row>
    <row r="2" spans="1:10" x14ac:dyDescent="0.3">
      <c r="F2" s="1" t="s">
        <v>12</v>
      </c>
      <c r="G2" s="1" t="s">
        <v>13</v>
      </c>
    </row>
    <row r="3" spans="1:10" x14ac:dyDescent="0.3">
      <c r="A3" s="1" t="s">
        <v>14</v>
      </c>
      <c r="B3" s="2">
        <v>20000</v>
      </c>
      <c r="E3" s="1" t="s">
        <v>15</v>
      </c>
      <c r="F3" s="2">
        <v>-49.704999999999998</v>
      </c>
      <c r="G3" s="2">
        <v>2.71</v>
      </c>
    </row>
    <row r="4" spans="1:10" x14ac:dyDescent="0.3">
      <c r="A4" s="1" t="s">
        <v>16</v>
      </c>
      <c r="B4" s="2">
        <v>15000</v>
      </c>
    </row>
    <row r="5" spans="1:10" x14ac:dyDescent="0.3">
      <c r="A5" s="1" t="s">
        <v>17</v>
      </c>
      <c r="B5" s="2">
        <v>760</v>
      </c>
    </row>
    <row r="6" spans="1:10" x14ac:dyDescent="0.3">
      <c r="A6" s="1" t="s">
        <v>18</v>
      </c>
      <c r="B6" s="2">
        <v>50</v>
      </c>
    </row>
    <row r="7" spans="1:10" x14ac:dyDescent="0.3">
      <c r="A7" s="1" t="s">
        <v>19</v>
      </c>
      <c r="B7" s="2">
        <v>25</v>
      </c>
    </row>
    <row r="8" spans="1:10" x14ac:dyDescent="0.3">
      <c r="A8" s="1" t="s">
        <v>20</v>
      </c>
      <c r="B8" s="2">
        <v>20</v>
      </c>
    </row>
    <row r="9" spans="1:10" x14ac:dyDescent="0.3">
      <c r="A9" s="1" t="s">
        <v>21</v>
      </c>
      <c r="B9" s="2">
        <v>0.5</v>
      </c>
    </row>
    <row r="10" spans="1:10" x14ac:dyDescent="0.3">
      <c r="A10" s="3" t="s">
        <v>22</v>
      </c>
      <c r="B10" s="2">
        <f>A+B*B8</f>
        <v>4.4950000000000045</v>
      </c>
    </row>
    <row r="11" spans="1:10" x14ac:dyDescent="0.3">
      <c r="A11" s="3" t="s">
        <v>23</v>
      </c>
      <c r="B11" s="2">
        <f>0.62*B10/B5</f>
        <v>3.6669736842105298E-3</v>
      </c>
      <c r="E11" s="25" t="s">
        <v>24</v>
      </c>
      <c r="F11" s="25"/>
    </row>
    <row r="12" spans="1:10" x14ac:dyDescent="0.3">
      <c r="A12" s="3" t="s">
        <v>25</v>
      </c>
      <c r="B12" s="2">
        <f>B9*B11</f>
        <v>1.8334868421052649E-3</v>
      </c>
      <c r="E12" s="4"/>
    </row>
    <row r="13" spans="1:10" x14ac:dyDescent="0.3">
      <c r="A13" s="1" t="s">
        <v>26</v>
      </c>
      <c r="B13" s="2">
        <v>0.26</v>
      </c>
      <c r="E13" s="5" t="s">
        <v>27</v>
      </c>
      <c r="F13" s="2">
        <v>0.05</v>
      </c>
      <c r="I13" s="3" t="s">
        <v>28</v>
      </c>
      <c r="J13" s="2">
        <f>hla+hga+Kua*DHev*0.62*B/P</f>
        <v>53727.044534412955</v>
      </c>
    </row>
    <row r="14" spans="1:10" x14ac:dyDescent="0.3">
      <c r="A14" s="1" t="s">
        <v>29</v>
      </c>
      <c r="B14" s="2">
        <v>1</v>
      </c>
      <c r="E14" s="4"/>
    </row>
    <row r="15" spans="1:10" x14ac:dyDescent="0.3">
      <c r="A15" s="1" t="s">
        <v>30</v>
      </c>
      <c r="B15" s="2">
        <v>580</v>
      </c>
      <c r="E15" s="4"/>
    </row>
    <row r="16" spans="1:10" x14ac:dyDescent="0.3">
      <c r="A16" s="1" t="s">
        <v>31</v>
      </c>
      <c r="B16" s="2">
        <v>4000</v>
      </c>
      <c r="E16" s="4"/>
    </row>
    <row r="17" spans="1:21" x14ac:dyDescent="0.3">
      <c r="A17" s="1" t="s">
        <v>32</v>
      </c>
      <c r="B17" s="2">
        <v>30000</v>
      </c>
    </row>
    <row r="18" spans="1:21" x14ac:dyDescent="0.3">
      <c r="A18" s="3" t="s">
        <v>33</v>
      </c>
      <c r="B18" s="2">
        <f>hga/Cu</f>
        <v>15384.615384615385</v>
      </c>
      <c r="E18" s="3" t="s">
        <v>62</v>
      </c>
      <c r="F18" s="3" t="s">
        <v>65</v>
      </c>
      <c r="G18" s="3" t="s">
        <v>64</v>
      </c>
      <c r="H18" s="3" t="s">
        <v>8</v>
      </c>
      <c r="I18" s="3" t="s">
        <v>63</v>
      </c>
      <c r="J18" s="3" t="s">
        <v>34</v>
      </c>
      <c r="K18" s="3" t="s">
        <v>35</v>
      </c>
      <c r="L18" s="3" t="s">
        <v>36</v>
      </c>
      <c r="M18" s="3" t="s">
        <v>37</v>
      </c>
      <c r="N18" s="3" t="s">
        <v>38</v>
      </c>
      <c r="O18" s="3" t="s">
        <v>66</v>
      </c>
      <c r="P18" s="3" t="s">
        <v>67</v>
      </c>
      <c r="S18" s="3" t="s">
        <v>68</v>
      </c>
      <c r="T18" s="3" t="s">
        <v>69</v>
      </c>
      <c r="U18" s="3" t="s">
        <v>59</v>
      </c>
    </row>
    <row r="19" spans="1:21" x14ac:dyDescent="0.3">
      <c r="E19" s="2">
        <v>0</v>
      </c>
      <c r="F19" s="6">
        <v>25</v>
      </c>
      <c r="G19" s="6">
        <v>20</v>
      </c>
      <c r="H19" s="7">
        <f>B12</f>
        <v>1.8334868421052649E-3</v>
      </c>
      <c r="I19" s="6">
        <f t="shared" ref="I19:I50" si="0">(hla*F19+hga*G19+Kua*DHev*(H19-0.62*A/P))/DEN</f>
        <v>22.487381485963688</v>
      </c>
      <c r="J19" s="7">
        <f>0.62*(A+B*I19)/P</f>
        <v>9.1660504904160361E-3</v>
      </c>
      <c r="K19" s="7">
        <f t="shared" ref="K19:K50" si="1">0.62*(A+B*G19)/P</f>
        <v>3.6669736842105298E-3</v>
      </c>
      <c r="L19" s="6">
        <f t="shared" ref="L19:L50" si="2">Kua*dz*(J19-H19)/Gs</f>
        <v>3.7602890504157807E-4</v>
      </c>
      <c r="M19" s="6">
        <f t="shared" ref="M19:M50" si="3">(hga*dz*(I19-G19)/Gs/Cu)</f>
        <v>0.12755802492121476</v>
      </c>
      <c r="N19" s="6">
        <f t="shared" ref="N19:N50" si="4">hla*dz*(F19-I19)/$B$3</f>
        <v>0.18844638855272339</v>
      </c>
      <c r="O19" s="2">
        <f t="shared" ref="O19:O50" si="5">O20-Kua*dz*(J20-H20)</f>
        <v>19269.789459212945</v>
      </c>
      <c r="P19" s="2">
        <f t="shared" ref="P19:P50" si="6">Gs+$B$3-O19</f>
        <v>15730.210540787055</v>
      </c>
      <c r="S19" s="6">
        <f>O124-O19</f>
        <v>730.21054078705492</v>
      </c>
      <c r="T19" s="6">
        <f>S19*DHev</f>
        <v>423522.11365649186</v>
      </c>
      <c r="U19" s="6">
        <f>T19/CpL/O19</f>
        <v>21.978554283269798</v>
      </c>
    </row>
    <row r="20" spans="1:21" x14ac:dyDescent="0.3">
      <c r="E20" s="2">
        <v>0.05</v>
      </c>
      <c r="F20" s="6">
        <f>F19+N19</f>
        <v>25.188446388552723</v>
      </c>
      <c r="G20" s="6">
        <f>G19+M19</f>
        <v>20.127558024921214</v>
      </c>
      <c r="H20" s="7">
        <f>H19+L19</f>
        <v>2.2095157471468431E-3</v>
      </c>
      <c r="I20" s="6">
        <f t="shared" si="0"/>
        <v>22.664554056756334</v>
      </c>
      <c r="J20" s="7">
        <f t="shared" ref="J20:J50" si="7">0.62*(A+B*I20)/P</f>
        <v>9.5577417449499904E-3</v>
      </c>
      <c r="K20" s="7">
        <f t="shared" si="1"/>
        <v>3.9489776229902959E-3</v>
      </c>
      <c r="L20" s="6">
        <f t="shared" si="2"/>
        <v>3.7683210245144345E-4</v>
      </c>
      <c r="M20" s="6">
        <f t="shared" si="3"/>
        <v>0.1301023606069292</v>
      </c>
      <c r="N20" s="6">
        <f t="shared" si="4"/>
        <v>0.18929192488472923</v>
      </c>
      <c r="O20" s="2">
        <f t="shared" si="5"/>
        <v>19275.441940749715</v>
      </c>
      <c r="P20" s="2">
        <f t="shared" si="6"/>
        <v>15724.558059250285</v>
      </c>
      <c r="R20" t="s">
        <v>60</v>
      </c>
      <c r="S20" s="15">
        <f>S19/B3*100</f>
        <v>3.6510527039352745</v>
      </c>
      <c r="T20" s="15"/>
      <c r="U20" s="15"/>
    </row>
    <row r="21" spans="1:21" x14ac:dyDescent="0.3">
      <c r="E21" s="2">
        <v>0.1</v>
      </c>
      <c r="F21" s="6">
        <f t="shared" ref="F21:F57" si="8">F20+N20</f>
        <v>25.377738313437451</v>
      </c>
      <c r="G21" s="6">
        <f t="shared" ref="G21:G57" si="9">G20+M20</f>
        <v>20.257660385528144</v>
      </c>
      <c r="H21" s="7">
        <f t="shared" ref="H21:H57" si="10">H20+L20</f>
        <v>2.5863478495982864E-3</v>
      </c>
      <c r="I21" s="6">
        <f t="shared" si="0"/>
        <v>22.842521579613546</v>
      </c>
      <c r="J21" s="7">
        <f t="shared" si="7"/>
        <v>9.9511904711403702E-3</v>
      </c>
      <c r="K21" s="7">
        <f t="shared" si="1"/>
        <v>4.236606552321563E-3</v>
      </c>
      <c r="L21" s="6">
        <f t="shared" si="2"/>
        <v>3.7768423700215817E-4</v>
      </c>
      <c r="M21" s="6">
        <f t="shared" si="3"/>
        <v>0.13255698431207191</v>
      </c>
      <c r="N21" s="6">
        <f t="shared" si="4"/>
        <v>0.19014125503679286</v>
      </c>
      <c r="O21" s="2">
        <f t="shared" si="5"/>
        <v>19281.107204304746</v>
      </c>
      <c r="P21" s="2">
        <f t="shared" si="6"/>
        <v>15718.892795695254</v>
      </c>
    </row>
    <row r="22" spans="1:21" x14ac:dyDescent="0.3">
      <c r="E22" s="2">
        <v>0.15</v>
      </c>
      <c r="F22" s="6">
        <f t="shared" si="8"/>
        <v>25.567879568474243</v>
      </c>
      <c r="G22" s="6">
        <f t="shared" si="9"/>
        <v>20.390217369840215</v>
      </c>
      <c r="H22" s="7">
        <f t="shared" si="10"/>
        <v>2.9640320866004444E-3</v>
      </c>
      <c r="I22" s="6">
        <f t="shared" si="0"/>
        <v>23.021287621389845</v>
      </c>
      <c r="J22" s="7">
        <f t="shared" si="7"/>
        <v>1.0346404554551604E-2</v>
      </c>
      <c r="K22" s="7">
        <f t="shared" si="1"/>
        <v>4.5296621379020156E-3</v>
      </c>
      <c r="L22" s="6">
        <f t="shared" si="2"/>
        <v>3.785832034846749E-4</v>
      </c>
      <c r="M22" s="6">
        <f t="shared" si="3"/>
        <v>0.13492667956664769</v>
      </c>
      <c r="N22" s="6">
        <f t="shared" si="4"/>
        <v>0.19099439603132984</v>
      </c>
      <c r="O22" s="2">
        <f t="shared" si="5"/>
        <v>19286.785952357015</v>
      </c>
      <c r="P22" s="2">
        <f t="shared" si="6"/>
        <v>15713.214047642985</v>
      </c>
    </row>
    <row r="23" spans="1:21" x14ac:dyDescent="0.3">
      <c r="E23" s="2">
        <v>0.2</v>
      </c>
      <c r="F23" s="6">
        <f t="shared" si="8"/>
        <v>25.758873964505572</v>
      </c>
      <c r="G23" s="6">
        <f t="shared" si="9"/>
        <v>20.525144049406862</v>
      </c>
      <c r="H23" s="7">
        <f t="shared" si="10"/>
        <v>3.3426152900851193E-3</v>
      </c>
      <c r="I23" s="6">
        <f t="shared" si="0"/>
        <v>23.200855764943803</v>
      </c>
      <c r="J23" s="7">
        <f t="shared" si="7"/>
        <v>1.0743391916129707E-2</v>
      </c>
      <c r="K23" s="7">
        <f t="shared" si="1"/>
        <v>4.8279566208071188E-3</v>
      </c>
      <c r="L23" s="6">
        <f t="shared" si="2"/>
        <v>3.7952700646382503E-4</v>
      </c>
      <c r="M23" s="6">
        <f t="shared" si="3"/>
        <v>0.13721598541215085</v>
      </c>
      <c r="N23" s="6">
        <f t="shared" si="4"/>
        <v>0.19185136496713265</v>
      </c>
      <c r="O23" s="2">
        <f t="shared" si="5"/>
        <v>19292.478857453971</v>
      </c>
      <c r="P23" s="2">
        <f t="shared" si="6"/>
        <v>15707.521142546029</v>
      </c>
    </row>
    <row r="24" spans="1:21" x14ac:dyDescent="0.3">
      <c r="E24" s="2">
        <v>0.25</v>
      </c>
      <c r="F24" s="6">
        <f t="shared" si="8"/>
        <v>25.950725329472704</v>
      </c>
      <c r="G24" s="6">
        <f t="shared" si="9"/>
        <v>20.662360034819013</v>
      </c>
      <c r="H24" s="7">
        <f t="shared" si="10"/>
        <v>3.7221422965489442E-3</v>
      </c>
      <c r="I24" s="6">
        <f t="shared" si="0"/>
        <v>23.381229609209829</v>
      </c>
      <c r="J24" s="7">
        <f t="shared" si="7"/>
        <v>1.1142160512360992E-2</v>
      </c>
      <c r="K24" s="7">
        <f t="shared" si="1"/>
        <v>5.1313122769775076E-3</v>
      </c>
      <c r="L24" s="6">
        <f t="shared" si="2"/>
        <v>3.8051375465702808E-4</v>
      </c>
      <c r="M24" s="6">
        <f t="shared" si="3"/>
        <v>0.13942920894311875</v>
      </c>
      <c r="N24" s="6">
        <f t="shared" si="4"/>
        <v>0.19271217901971563</v>
      </c>
      <c r="O24" s="2">
        <f t="shared" si="5"/>
        <v>19298.186563773826</v>
      </c>
      <c r="P24" s="2">
        <f t="shared" si="6"/>
        <v>15701.813436226174</v>
      </c>
    </row>
    <row r="25" spans="1:21" x14ac:dyDescent="0.3">
      <c r="E25" s="2">
        <v>0.3</v>
      </c>
      <c r="F25" s="6">
        <f t="shared" si="8"/>
        <v>26.143437508492418</v>
      </c>
      <c r="G25" s="6">
        <f t="shared" si="9"/>
        <v>20.801789243762133</v>
      </c>
      <c r="H25" s="7">
        <f t="shared" si="10"/>
        <v>4.1026560512059723E-3</v>
      </c>
      <c r="I25" s="6">
        <f t="shared" si="0"/>
        <v>23.562412769270356</v>
      </c>
      <c r="J25" s="7">
        <f t="shared" si="7"/>
        <v>1.1542718335431646E-2</v>
      </c>
      <c r="K25" s="7">
        <f t="shared" si="1"/>
        <v>5.4395609044330766E-3</v>
      </c>
      <c r="L25" s="6">
        <f t="shared" si="2"/>
        <v>3.8154165560131661E-4</v>
      </c>
      <c r="M25" s="6">
        <f t="shared" si="3"/>
        <v>0.14157043720554988</v>
      </c>
      <c r="N25" s="6">
        <f t="shared" si="4"/>
        <v>0.19357685544165468</v>
      </c>
      <c r="O25" s="2">
        <f t="shared" si="5"/>
        <v>19303.909688607848</v>
      </c>
      <c r="P25" s="2">
        <f t="shared" si="6"/>
        <v>15696.090311392152</v>
      </c>
    </row>
    <row r="26" spans="1:21" x14ac:dyDescent="0.3">
      <c r="E26" s="2">
        <v>0.35</v>
      </c>
      <c r="F26" s="6">
        <f t="shared" si="8"/>
        <v>26.337014363934074</v>
      </c>
      <c r="G26" s="6">
        <f t="shared" si="9"/>
        <v>20.943359680967685</v>
      </c>
      <c r="H26" s="7">
        <f t="shared" si="10"/>
        <v>4.4841977068072886E-3</v>
      </c>
      <c r="I26" s="6">
        <f t="shared" si="0"/>
        <v>23.744408876428224</v>
      </c>
      <c r="J26" s="7">
        <f t="shared" si="7"/>
        <v>1.1945073413387771E-2</v>
      </c>
      <c r="K26" s="7">
        <f t="shared" si="1"/>
        <v>5.7525433367919794E-3</v>
      </c>
      <c r="L26" s="6">
        <f t="shared" si="2"/>
        <v>3.826090105938709E-4</v>
      </c>
      <c r="M26" s="6">
        <f t="shared" si="3"/>
        <v>0.14364354848515584</v>
      </c>
      <c r="N26" s="6">
        <f t="shared" si="4"/>
        <v>0.19444541156293874</v>
      </c>
      <c r="O26" s="2">
        <f t="shared" si="5"/>
        <v>19309.648823766755</v>
      </c>
      <c r="P26" s="2">
        <f t="shared" si="6"/>
        <v>15690.351176233245</v>
      </c>
    </row>
    <row r="27" spans="1:21" x14ac:dyDescent="0.3">
      <c r="E27" s="2">
        <v>0.4</v>
      </c>
      <c r="F27" s="6">
        <f t="shared" si="8"/>
        <v>26.531459775497012</v>
      </c>
      <c r="G27" s="6">
        <f t="shared" si="9"/>
        <v>21.08700322945284</v>
      </c>
      <c r="H27" s="7">
        <f t="shared" si="10"/>
        <v>4.8668067174011597E-3</v>
      </c>
      <c r="I27" s="6">
        <f t="shared" si="0"/>
        <v>23.927221578279504</v>
      </c>
      <c r="J27" s="7">
        <f t="shared" si="7"/>
        <v>1.2349233810296342E-2</v>
      </c>
      <c r="K27" s="7">
        <f t="shared" si="1"/>
        <v>6.0701089817456096E-3</v>
      </c>
      <c r="L27" s="6">
        <f t="shared" si="2"/>
        <v>3.8371420989206061E-4</v>
      </c>
      <c r="M27" s="6">
        <f t="shared" si="3"/>
        <v>0.14565222301675199</v>
      </c>
      <c r="N27" s="6">
        <f t="shared" si="4"/>
        <v>0.19531786479131316</v>
      </c>
      <c r="O27" s="2">
        <f t="shared" si="5"/>
        <v>19315.404536915135</v>
      </c>
      <c r="P27" s="2">
        <f t="shared" si="6"/>
        <v>15684.595463084865</v>
      </c>
    </row>
    <row r="28" spans="1:21" x14ac:dyDescent="0.3">
      <c r="E28" s="2">
        <v>0.45</v>
      </c>
      <c r="F28" s="6">
        <f t="shared" si="8"/>
        <v>26.726777640288326</v>
      </c>
      <c r="G28" s="6">
        <f t="shared" si="9"/>
        <v>21.232655452469594</v>
      </c>
      <c r="H28" s="7">
        <f t="shared" si="10"/>
        <v>5.2505209272932203E-3</v>
      </c>
      <c r="I28" s="6">
        <f t="shared" si="0"/>
        <v>24.110854538786604</v>
      </c>
      <c r="J28" s="7">
        <f t="shared" si="7"/>
        <v>1.2755207626406913E-2</v>
      </c>
      <c r="K28" s="7">
        <f t="shared" si="1"/>
        <v>6.3921153832097524E-3</v>
      </c>
      <c r="L28" s="6">
        <f t="shared" si="2"/>
        <v>3.8485572815967663E-4</v>
      </c>
      <c r="M28" s="6">
        <f t="shared" si="3"/>
        <v>0.14759995314446209</v>
      </c>
      <c r="N28" s="6">
        <f t="shared" si="4"/>
        <v>0.19619423261262908</v>
      </c>
      <c r="O28" s="2">
        <f t="shared" si="5"/>
        <v>19321.17737283753</v>
      </c>
      <c r="P28" s="2">
        <f t="shared" si="6"/>
        <v>15678.82262716247</v>
      </c>
    </row>
    <row r="29" spans="1:21" x14ac:dyDescent="0.3">
      <c r="E29" s="2">
        <v>0.5</v>
      </c>
      <c r="F29" s="6">
        <f t="shared" si="8"/>
        <v>26.922971872900956</v>
      </c>
      <c r="G29" s="6">
        <f t="shared" si="9"/>
        <v>21.380255405614054</v>
      </c>
      <c r="H29" s="7">
        <f t="shared" si="10"/>
        <v>5.6353766554528969E-3</v>
      </c>
      <c r="I29" s="6">
        <f t="shared" si="0"/>
        <v>24.295311438351675</v>
      </c>
      <c r="J29" s="7">
        <f t="shared" si="7"/>
        <v>1.3163002998313789E-2</v>
      </c>
      <c r="K29" s="7">
        <f t="shared" si="1"/>
        <v>6.7184278059378086E-3</v>
      </c>
      <c r="L29" s="6">
        <f t="shared" si="2"/>
        <v>3.8603212014671248E-4</v>
      </c>
      <c r="M29" s="6">
        <f t="shared" si="3"/>
        <v>0.14949005296090362</v>
      </c>
      <c r="N29" s="6">
        <f t="shared" si="4"/>
        <v>0.19707453259119603</v>
      </c>
      <c r="O29" s="2">
        <f t="shared" si="5"/>
        <v>19326.96785463973</v>
      </c>
      <c r="P29" s="2">
        <f t="shared" si="6"/>
        <v>15673.03214536027</v>
      </c>
    </row>
    <row r="30" spans="1:21" x14ac:dyDescent="0.3">
      <c r="E30" s="2">
        <v>0.55000000000000004</v>
      </c>
      <c r="F30" s="6">
        <f t="shared" si="8"/>
        <v>27.12004640549215</v>
      </c>
      <c r="G30" s="6">
        <f t="shared" si="9"/>
        <v>21.529745458574958</v>
      </c>
      <c r="H30" s="7">
        <f t="shared" si="10"/>
        <v>6.0214087755996095E-3</v>
      </c>
      <c r="I30" s="6">
        <f t="shared" si="0"/>
        <v>24.480595973890399</v>
      </c>
      <c r="J30" s="7">
        <f t="shared" si="7"/>
        <v>1.3572628099119272E-2</v>
      </c>
      <c r="K30" s="7">
        <f t="shared" si="1"/>
        <v>7.0489188414442688E-3</v>
      </c>
      <c r="L30" s="6">
        <f t="shared" si="2"/>
        <v>3.8724201659075193E-4</v>
      </c>
      <c r="M30" s="6">
        <f t="shared" si="3"/>
        <v>0.15132566745207388</v>
      </c>
      <c r="N30" s="6">
        <f t="shared" si="4"/>
        <v>0.19795878237013137</v>
      </c>
      <c r="O30" s="2">
        <f t="shared" si="5"/>
        <v>19332.776484888593</v>
      </c>
      <c r="P30" s="2">
        <f t="shared" si="6"/>
        <v>15667.223515111407</v>
      </c>
    </row>
    <row r="31" spans="1:21" x14ac:dyDescent="0.3">
      <c r="E31" s="2">
        <v>0.6</v>
      </c>
      <c r="F31" s="6">
        <f t="shared" si="8"/>
        <v>27.318005187862283</v>
      </c>
      <c r="G31" s="6">
        <f t="shared" si="9"/>
        <v>21.681071126027032</v>
      </c>
      <c r="H31" s="7">
        <f t="shared" si="10"/>
        <v>6.4086507921903612E-3</v>
      </c>
      <c r="I31" s="6">
        <f t="shared" si="0"/>
        <v>24.666711858906076</v>
      </c>
      <c r="J31" s="7">
        <f t="shared" si="7"/>
        <v>1.3984091138597358E-2</v>
      </c>
      <c r="K31" s="7">
        <f t="shared" si="1"/>
        <v>7.3834680341455525E-3</v>
      </c>
      <c r="L31" s="6">
        <f t="shared" si="2"/>
        <v>3.8848412032856398E-4</v>
      </c>
      <c r="M31" s="6">
        <f t="shared" si="3"/>
        <v>0.15310978117328436</v>
      </c>
      <c r="N31" s="6">
        <f t="shared" si="4"/>
        <v>0.19884699967171551</v>
      </c>
      <c r="O31" s="2">
        <f t="shared" si="5"/>
        <v>19338.603746693519</v>
      </c>
      <c r="P31" s="2">
        <f t="shared" si="6"/>
        <v>15661.396253306481</v>
      </c>
    </row>
    <row r="32" spans="1:21" x14ac:dyDescent="0.3">
      <c r="E32" s="2">
        <v>0.65</v>
      </c>
      <c r="F32" s="6">
        <f t="shared" si="8"/>
        <v>27.516852187533999</v>
      </c>
      <c r="G32" s="6">
        <f t="shared" si="9"/>
        <v>21.834180907200317</v>
      </c>
      <c r="H32" s="7">
        <f t="shared" si="10"/>
        <v>6.7971349125189248E-3</v>
      </c>
      <c r="I32" s="6">
        <f t="shared" si="0"/>
        <v>24.853662823564047</v>
      </c>
      <c r="J32" s="7">
        <f t="shared" si="7"/>
        <v>1.4397400363358305E-2</v>
      </c>
      <c r="K32" s="7">
        <f t="shared" si="1"/>
        <v>7.7219615266815433E-3</v>
      </c>
      <c r="L32" s="6">
        <f t="shared" si="2"/>
        <v>3.8975720260714771E-4</v>
      </c>
      <c r="M32" s="6">
        <f t="shared" si="3"/>
        <v>0.15484522648019131</v>
      </c>
      <c r="N32" s="6">
        <f t="shared" si="4"/>
        <v>0.19973920229774639</v>
      </c>
      <c r="O32" s="2">
        <f t="shared" si="5"/>
        <v>19344.450104732627</v>
      </c>
      <c r="P32" s="2">
        <f t="shared" si="6"/>
        <v>15655.549895267373</v>
      </c>
    </row>
    <row r="33" spans="5:16" x14ac:dyDescent="0.3">
      <c r="E33" s="2">
        <v>0.7</v>
      </c>
      <c r="F33" s="6">
        <f t="shared" si="8"/>
        <v>27.716591389831745</v>
      </c>
      <c r="G33" s="6">
        <f t="shared" si="9"/>
        <v>21.989026133680508</v>
      </c>
      <c r="H33" s="7">
        <f t="shared" si="10"/>
        <v>7.1868921151260722E-3</v>
      </c>
      <c r="I33" s="6">
        <f t="shared" si="0"/>
        <v>25.041452614766456</v>
      </c>
      <c r="J33" s="7">
        <f t="shared" si="7"/>
        <v>1.4812564057013946E-2</v>
      </c>
      <c r="K33" s="7">
        <f t="shared" si="1"/>
        <v>8.0642917234341957E-3</v>
      </c>
      <c r="L33" s="6">
        <f t="shared" si="2"/>
        <v>3.9106009958399354E-4</v>
      </c>
      <c r="M33" s="6">
        <f t="shared" si="3"/>
        <v>0.15653469133774095</v>
      </c>
      <c r="N33" s="6">
        <f t="shared" si="4"/>
        <v>0.20063540812989666</v>
      </c>
      <c r="O33" s="2">
        <f t="shared" si="5"/>
        <v>19350.316006226385</v>
      </c>
      <c r="P33" s="2">
        <f t="shared" si="6"/>
        <v>15649.683993773615</v>
      </c>
    </row>
    <row r="34" spans="5:16" x14ac:dyDescent="0.3">
      <c r="E34" s="2">
        <v>0.75</v>
      </c>
      <c r="F34" s="6">
        <f t="shared" si="8"/>
        <v>27.917226797961643</v>
      </c>
      <c r="G34" s="6">
        <f t="shared" si="9"/>
        <v>22.145560825018247</v>
      </c>
      <c r="H34" s="7">
        <f t="shared" si="10"/>
        <v>7.5779522147100655E-3</v>
      </c>
      <c r="I34" s="6">
        <f t="shared" si="0"/>
        <v>25.230084996227355</v>
      </c>
      <c r="J34" s="7">
        <f t="shared" si="7"/>
        <v>1.5229590540343681E-2</v>
      </c>
      <c r="K34" s="7">
        <f t="shared" si="1"/>
        <v>8.4103569713100765E-3</v>
      </c>
      <c r="L34" s="6">
        <f t="shared" si="2"/>
        <v>3.9239170900685211E-4</v>
      </c>
      <c r="M34" s="6">
        <f t="shared" si="3"/>
        <v>0.15818072672867217</v>
      </c>
      <c r="N34" s="6">
        <f t="shared" si="4"/>
        <v>0.20153563513007161</v>
      </c>
      <c r="O34" s="2">
        <f t="shared" si="5"/>
        <v>19356.201881861489</v>
      </c>
      <c r="P34" s="2">
        <f t="shared" si="6"/>
        <v>15643.798118138511</v>
      </c>
    </row>
    <row r="35" spans="5:16" x14ac:dyDescent="0.3">
      <c r="E35" s="2">
        <v>0.8</v>
      </c>
      <c r="F35" s="6">
        <f t="shared" si="8"/>
        <v>28.118762433091714</v>
      </c>
      <c r="G35" s="6">
        <f t="shared" si="9"/>
        <v>22.303741551746921</v>
      </c>
      <c r="H35" s="7">
        <f t="shared" si="10"/>
        <v>7.9703439237169167E-3</v>
      </c>
      <c r="I35" s="6">
        <f t="shared" si="0"/>
        <v>25.419563748548114</v>
      </c>
      <c r="J35" s="7">
        <f t="shared" si="7"/>
        <v>1.5648488171461243E-2</v>
      </c>
      <c r="K35" s="7">
        <f t="shared" si="1"/>
        <v>8.7600612569015465E-3</v>
      </c>
      <c r="L35" s="6">
        <f t="shared" si="2"/>
        <v>3.9375098706381166E-4</v>
      </c>
      <c r="M35" s="6">
        <f t="shared" si="3"/>
        <v>0.15978575368211248</v>
      </c>
      <c r="N35" s="6">
        <f t="shared" si="4"/>
        <v>0.20243990134076997</v>
      </c>
      <c r="O35" s="2">
        <f t="shared" si="5"/>
        <v>19362.108146667448</v>
      </c>
      <c r="P35" s="2">
        <f t="shared" si="6"/>
        <v>15637.891853332552</v>
      </c>
    </row>
    <row r="36" spans="5:16" x14ac:dyDescent="0.3">
      <c r="E36" s="2">
        <v>0.85</v>
      </c>
      <c r="F36" s="6">
        <f t="shared" si="8"/>
        <v>28.321202334432485</v>
      </c>
      <c r="G36" s="6">
        <f t="shared" si="9"/>
        <v>22.463527305429032</v>
      </c>
      <c r="H36" s="7">
        <f t="shared" si="10"/>
        <v>8.3640949107807276E-3</v>
      </c>
      <c r="I36" s="6">
        <f t="shared" si="0"/>
        <v>25.609892669293231</v>
      </c>
      <c r="J36" s="7">
        <f t="shared" si="7"/>
        <v>1.6069265345982221E-2</v>
      </c>
      <c r="K36" s="7">
        <f t="shared" si="1"/>
        <v>9.1133139191866604E-3</v>
      </c>
      <c r="L36" s="6">
        <f t="shared" si="2"/>
        <v>3.9513694539494839E-4</v>
      </c>
      <c r="M36" s="6">
        <f t="shared" si="3"/>
        <v>0.16135206994175377</v>
      </c>
      <c r="N36" s="6">
        <f t="shared" si="4"/>
        <v>0.20334822488544405</v>
      </c>
      <c r="O36" s="2">
        <f t="shared" si="5"/>
        <v>19368.035200848371</v>
      </c>
      <c r="P36" s="2">
        <f t="shared" si="6"/>
        <v>15631.964799151629</v>
      </c>
    </row>
    <row r="37" spans="5:16" x14ac:dyDescent="0.3">
      <c r="E37" s="2">
        <v>0.9</v>
      </c>
      <c r="F37" s="6">
        <f t="shared" si="8"/>
        <v>28.52455055931793</v>
      </c>
      <c r="G37" s="6">
        <f t="shared" si="9"/>
        <v>22.624879375370785</v>
      </c>
      <c r="H37" s="7">
        <f t="shared" si="10"/>
        <v>8.7592318561756765E-3</v>
      </c>
      <c r="I37" s="6">
        <f t="shared" si="0"/>
        <v>25.801075573066388</v>
      </c>
      <c r="J37" s="7">
        <f t="shared" si="7"/>
        <v>1.6491930497192296E-2</v>
      </c>
      <c r="K37" s="7">
        <f t="shared" si="1"/>
        <v>9.4700293769710443E-3</v>
      </c>
      <c r="L37" s="6">
        <f t="shared" si="2"/>
        <v>3.9654864825726258E-4</v>
      </c>
      <c r="M37" s="6">
        <f t="shared" si="3"/>
        <v>0.16288185629208218</v>
      </c>
      <c r="N37" s="6">
        <f t="shared" si="4"/>
        <v>0.20426062396886566</v>
      </c>
      <c r="O37" s="2">
        <f t="shared" si="5"/>
        <v>19373.983430572229</v>
      </c>
      <c r="P37" s="2">
        <f t="shared" si="6"/>
        <v>15626.016569427771</v>
      </c>
    </row>
    <row r="38" spans="5:16" x14ac:dyDescent="0.3">
      <c r="E38" s="2">
        <v>0.95</v>
      </c>
      <c r="F38" s="6">
        <f t="shared" si="8"/>
        <v>28.728811183286798</v>
      </c>
      <c r="G38" s="6">
        <f t="shared" si="9"/>
        <v>22.787761231662866</v>
      </c>
      <c r="H38" s="7">
        <f t="shared" si="10"/>
        <v>9.1557805044329386E-3</v>
      </c>
      <c r="I38" s="6">
        <f t="shared" si="0"/>
        <v>25.993116291586976</v>
      </c>
      <c r="J38" s="7">
        <f t="shared" si="7"/>
        <v>1.6916492096216363E-2</v>
      </c>
      <c r="K38" s="7">
        <f t="shared" si="1"/>
        <v>9.8301268703157238E-3</v>
      </c>
      <c r="L38" s="6">
        <f t="shared" si="2"/>
        <v>3.9798520983504746E-4</v>
      </c>
      <c r="M38" s="6">
        <f t="shared" si="3"/>
        <v>0.16437718256021069</v>
      </c>
      <c r="N38" s="6">
        <f t="shared" si="4"/>
        <v>0.20517711687748666</v>
      </c>
      <c r="O38" s="2">
        <f t="shared" si="5"/>
        <v>19379.953208719755</v>
      </c>
      <c r="P38" s="2">
        <f t="shared" si="6"/>
        <v>15620.046791280245</v>
      </c>
    </row>
    <row r="39" spans="5:16" x14ac:dyDescent="0.3">
      <c r="E39" s="2">
        <v>1</v>
      </c>
      <c r="F39" s="6">
        <f t="shared" si="8"/>
        <v>28.933988300164284</v>
      </c>
      <c r="G39" s="6">
        <f t="shared" si="9"/>
        <v>22.952138414223079</v>
      </c>
      <c r="H39" s="7">
        <f t="shared" si="10"/>
        <v>9.5537657142679856E-3</v>
      </c>
      <c r="I39" s="6">
        <f t="shared" si="0"/>
        <v>26.18601867376681</v>
      </c>
      <c r="J39" s="7">
        <f t="shared" si="7"/>
        <v>1.7342958652188156E-2</v>
      </c>
      <c r="K39" s="7">
        <f t="shared" si="1"/>
        <v>1.0193530215233709E-2</v>
      </c>
      <c r="L39" s="6">
        <f t="shared" si="2"/>
        <v>3.9944579168821385E-4</v>
      </c>
      <c r="M39" s="6">
        <f t="shared" si="3"/>
        <v>0.16584001330993495</v>
      </c>
      <c r="N39" s="6">
        <f t="shared" si="4"/>
        <v>0.20609772197981052</v>
      </c>
      <c r="O39" s="2">
        <f t="shared" si="5"/>
        <v>19385.944895595079</v>
      </c>
      <c r="P39" s="2">
        <f t="shared" si="6"/>
        <v>15614.055104404921</v>
      </c>
    </row>
    <row r="40" spans="5:16" x14ac:dyDescent="0.3">
      <c r="E40" s="2">
        <v>1.05</v>
      </c>
      <c r="F40" s="6">
        <f t="shared" si="8"/>
        <v>29.140086022144093</v>
      </c>
      <c r="G40" s="6">
        <f t="shared" si="9"/>
        <v>23.117978427533014</v>
      </c>
      <c r="H40" s="7">
        <f t="shared" si="10"/>
        <v>9.9532115059561988E-3</v>
      </c>
      <c r="I40" s="6">
        <f t="shared" si="0"/>
        <v>26.379786585787343</v>
      </c>
      <c r="J40" s="7">
        <f t="shared" si="7"/>
        <v>1.7771338712420919E-2</v>
      </c>
      <c r="K40" s="7">
        <f t="shared" si="1"/>
        <v>1.0560167570974959E-2</v>
      </c>
      <c r="L40" s="6">
        <f t="shared" si="2"/>
        <v>4.0092960033152409E-4</v>
      </c>
      <c r="M40" s="6">
        <f t="shared" si="3"/>
        <v>0.16727221324381172</v>
      </c>
      <c r="N40" s="6">
        <f t="shared" si="4"/>
        <v>0.20702245772675623</v>
      </c>
      <c r="O40" s="2">
        <f t="shared" si="5"/>
        <v>19391.958839600051</v>
      </c>
      <c r="P40" s="2">
        <f t="shared" si="6"/>
        <v>15608.041160399949</v>
      </c>
    </row>
    <row r="41" spans="5:16" x14ac:dyDescent="0.3">
      <c r="E41" s="2">
        <v>1.1000000000000001</v>
      </c>
      <c r="F41" s="6">
        <f t="shared" si="8"/>
        <v>29.347108479870847</v>
      </c>
      <c r="G41" s="6">
        <f t="shared" si="9"/>
        <v>23.285250640776827</v>
      </c>
      <c r="H41" s="7">
        <f t="shared" si="10"/>
        <v>1.0354141106287722E-2</v>
      </c>
      <c r="I41" s="6">
        <f t="shared" si="0"/>
        <v>26.574423911177103</v>
      </c>
      <c r="J41" s="7">
        <f t="shared" si="7"/>
        <v>1.8201640862578649E-2</v>
      </c>
      <c r="K41" s="7">
        <f t="shared" si="1"/>
        <v>1.0929971219254245E-2</v>
      </c>
      <c r="L41" s="6">
        <f t="shared" si="2"/>
        <v>4.0243588493799623E-4</v>
      </c>
      <c r="M41" s="6">
        <f t="shared" si="3"/>
        <v>0.16867555232821932</v>
      </c>
      <c r="N41" s="6">
        <f t="shared" si="4"/>
        <v>0.20795134265203083</v>
      </c>
      <c r="O41" s="2">
        <f t="shared" si="5"/>
        <v>19397.995377874122</v>
      </c>
      <c r="P41" s="2">
        <f t="shared" si="6"/>
        <v>15602.004622125878</v>
      </c>
    </row>
    <row r="42" spans="5:16" x14ac:dyDescent="0.3">
      <c r="E42" s="2">
        <v>1.1499999999999999</v>
      </c>
      <c r="F42" s="6">
        <f t="shared" si="8"/>
        <v>29.555059822522878</v>
      </c>
      <c r="G42" s="6">
        <f t="shared" si="9"/>
        <v>23.453926193105048</v>
      </c>
      <c r="H42" s="7">
        <f t="shared" si="10"/>
        <v>1.0756576991225718E-2</v>
      </c>
      <c r="I42" s="6">
        <f t="shared" si="0"/>
        <v>26.769934550889548</v>
      </c>
      <c r="J42" s="7">
        <f t="shared" si="7"/>
        <v>1.8633873726848188E-2</v>
      </c>
      <c r="K42" s="7">
        <f t="shared" si="1"/>
        <v>1.1302877354809344E-2</v>
      </c>
      <c r="L42" s="6">
        <f t="shared" si="2"/>
        <v>4.0396393516012671E-4</v>
      </c>
      <c r="M42" s="6">
        <f t="shared" si="3"/>
        <v>0.17005171065561539</v>
      </c>
      <c r="N42" s="6">
        <f t="shared" si="4"/>
        <v>0.20888439537249973</v>
      </c>
      <c r="O42" s="2">
        <f t="shared" si="5"/>
        <v>19404.054836901523</v>
      </c>
      <c r="P42" s="2">
        <f t="shared" si="6"/>
        <v>15595.945163098477</v>
      </c>
    </row>
    <row r="43" spans="5:16" x14ac:dyDescent="0.3">
      <c r="E43" s="2">
        <v>1.2</v>
      </c>
      <c r="F43" s="6">
        <f t="shared" si="8"/>
        <v>29.763944217895379</v>
      </c>
      <c r="G43" s="6">
        <f t="shared" si="9"/>
        <v>23.623977903760665</v>
      </c>
      <c r="H43" s="7">
        <f t="shared" si="10"/>
        <v>1.1160540926385845E-2</v>
      </c>
      <c r="I43" s="6">
        <f t="shared" si="0"/>
        <v>26.966322423381246</v>
      </c>
      <c r="J43" s="7">
        <f t="shared" si="7"/>
        <v>1.9068045968112065E-2</v>
      </c>
      <c r="K43" s="7">
        <f t="shared" si="1"/>
        <v>1.1678825886708781E-2</v>
      </c>
      <c r="L43" s="6">
        <f t="shared" si="2"/>
        <v>4.0551307906288312E-4</v>
      </c>
      <c r="M43" s="6">
        <f t="shared" si="3"/>
        <v>0.17140228305746572</v>
      </c>
      <c r="N43" s="6">
        <f t="shared" si="4"/>
        <v>0.2098216345885599</v>
      </c>
      <c r="O43" s="2">
        <f t="shared" si="5"/>
        <v>19410.137533087465</v>
      </c>
      <c r="P43" s="2">
        <f t="shared" si="6"/>
        <v>15589.862466912535</v>
      </c>
    </row>
    <row r="44" spans="5:16" x14ac:dyDescent="0.3">
      <c r="E44" s="2">
        <v>1.25</v>
      </c>
      <c r="F44" s="6">
        <f t="shared" si="8"/>
        <v>29.97376585248394</v>
      </c>
      <c r="G44" s="6">
        <f t="shared" si="9"/>
        <v>23.795380186818129</v>
      </c>
      <c r="H44" s="7">
        <f t="shared" si="10"/>
        <v>1.1566054005448727E-2</v>
      </c>
      <c r="I44" s="6">
        <f t="shared" si="0"/>
        <v>27.163591464690416</v>
      </c>
      <c r="J44" s="7">
        <f t="shared" si="7"/>
        <v>1.9504166288122151E-2</v>
      </c>
      <c r="K44" s="7">
        <f t="shared" si="1"/>
        <v>1.2057760249857656E-2</v>
      </c>
      <c r="L44" s="6">
        <f t="shared" si="2"/>
        <v>4.0708268116273967E-4</v>
      </c>
      <c r="M44" s="6">
        <f t="shared" si="3"/>
        <v>0.17272878348063014</v>
      </c>
      <c r="N44" s="6">
        <f t="shared" si="4"/>
        <v>0.21076307908451428</v>
      </c>
      <c r="O44" s="2">
        <f t="shared" si="5"/>
        <v>19416.243773304905</v>
      </c>
      <c r="P44" s="2">
        <f t="shared" si="6"/>
        <v>15583.756226695095</v>
      </c>
    </row>
    <row r="45" spans="5:16" x14ac:dyDescent="0.3">
      <c r="E45" s="2">
        <v>1.3</v>
      </c>
      <c r="F45" s="6">
        <f t="shared" si="8"/>
        <v>30.184528931568455</v>
      </c>
      <c r="G45" s="6">
        <f t="shared" si="9"/>
        <v>23.968108970298758</v>
      </c>
      <c r="H45" s="7">
        <f t="shared" si="10"/>
        <v>1.1973136686611468E-2</v>
      </c>
      <c r="I45" s="6">
        <f t="shared" si="0"/>
        <v>27.361745628515795</v>
      </c>
      <c r="J45" s="7">
        <f t="shared" si="7"/>
        <v>1.9942243427673999E-2</v>
      </c>
      <c r="K45" s="7">
        <f t="shared" si="1"/>
        <v>1.2439627226178911E-2</v>
      </c>
      <c r="L45" s="6">
        <f t="shared" si="2"/>
        <v>4.0867214056730926E-4</v>
      </c>
      <c r="M45" s="6">
        <f t="shared" si="3"/>
        <v>0.17403264913933522</v>
      </c>
      <c r="N45" s="6">
        <f t="shared" si="4"/>
        <v>0.21170874772894949</v>
      </c>
      <c r="O45" s="2">
        <f t="shared" si="5"/>
        <v>19422.373855413414</v>
      </c>
      <c r="P45" s="2">
        <f t="shared" si="6"/>
        <v>15577.626144586586</v>
      </c>
    </row>
    <row r="46" spans="5:16" x14ac:dyDescent="0.3">
      <c r="E46" s="2">
        <v>1.35</v>
      </c>
      <c r="F46" s="6">
        <f t="shared" si="8"/>
        <v>30.396237679297403</v>
      </c>
      <c r="G46" s="6">
        <f t="shared" si="9"/>
        <v>24.142141619438092</v>
      </c>
      <c r="H46" s="7">
        <f t="shared" si="10"/>
        <v>1.2381808827178778E-2</v>
      </c>
      <c r="I46" s="6">
        <f t="shared" si="0"/>
        <v>27.560788886295899</v>
      </c>
      <c r="J46" s="7">
        <f t="shared" si="7"/>
        <v>2.0382286166782067E-2</v>
      </c>
      <c r="K46" s="7">
        <f t="shared" si="1"/>
        <v>1.2824376774973525E-2</v>
      </c>
      <c r="L46" s="6">
        <f t="shared" si="2"/>
        <v>4.1028088921042508E-4</v>
      </c>
      <c r="M46" s="6">
        <f t="shared" si="3"/>
        <v>0.17531524445424651</v>
      </c>
      <c r="N46" s="6">
        <f t="shared" si="4"/>
        <v>0.21265865947511278</v>
      </c>
      <c r="O46" s="2">
        <f t="shared" si="5"/>
        <v>19428.52806875157</v>
      </c>
      <c r="P46" s="2">
        <f t="shared" si="6"/>
        <v>15571.47193124843</v>
      </c>
    </row>
    <row r="47" spans="5:16" x14ac:dyDescent="0.3">
      <c r="E47" s="2">
        <v>1.4</v>
      </c>
      <c r="F47" s="6">
        <f t="shared" si="8"/>
        <v>30.608896338772517</v>
      </c>
      <c r="G47" s="6">
        <f t="shared" si="9"/>
        <v>24.317456863892339</v>
      </c>
      <c r="H47" s="7">
        <f t="shared" si="10"/>
        <v>1.2792089716389203E-2</v>
      </c>
      <c r="I47" s="6">
        <f t="shared" si="0"/>
        <v>27.760725227288617</v>
      </c>
      <c r="J47" s="7">
        <f t="shared" si="7"/>
        <v>2.0824303324855704E-2</v>
      </c>
      <c r="K47" s="7">
        <f t="shared" si="1"/>
        <v>1.3211961871989355E-2</v>
      </c>
      <c r="L47" s="6">
        <f t="shared" si="2"/>
        <v>4.1190839017776927E-4</v>
      </c>
      <c r="M47" s="6">
        <f t="shared" si="3"/>
        <v>0.1765778647895527</v>
      </c>
      <c r="N47" s="6">
        <f t="shared" si="4"/>
        <v>0.2136128333612925</v>
      </c>
      <c r="O47" s="2">
        <f t="shared" si="5"/>
        <v>19434.706694604236</v>
      </c>
      <c r="P47" s="2">
        <f t="shared" si="6"/>
        <v>15565.293305395764</v>
      </c>
    </row>
    <row r="48" spans="5:16" x14ac:dyDescent="0.3">
      <c r="E48" s="2">
        <v>1.45</v>
      </c>
      <c r="F48" s="6">
        <f t="shared" si="8"/>
        <v>30.82250917213381</v>
      </c>
      <c r="G48" s="6">
        <f t="shared" si="9"/>
        <v>24.494034728681893</v>
      </c>
      <c r="H48" s="7">
        <f t="shared" si="10"/>
        <v>1.3203998106566972E-2</v>
      </c>
      <c r="I48" s="6">
        <f t="shared" si="0"/>
        <v>27.96155865865116</v>
      </c>
      <c r="J48" s="7">
        <f t="shared" si="7"/>
        <v>2.1268303760875899E-2</v>
      </c>
      <c r="K48" s="7">
        <f t="shared" si="1"/>
        <v>1.3602338356751727E-2</v>
      </c>
      <c r="L48" s="6">
        <f t="shared" si="2"/>
        <v>4.1355413611840659E-4</v>
      </c>
      <c r="M48" s="6">
        <f t="shared" si="3"/>
        <v>0.17782173999842402</v>
      </c>
      <c r="N48" s="6">
        <f t="shared" si="4"/>
        <v>0.21457128851119869</v>
      </c>
      <c r="O48" s="2">
        <f t="shared" si="5"/>
        <v>19440.910006646012</v>
      </c>
      <c r="P48" s="2">
        <f t="shared" si="6"/>
        <v>15559.089993353988</v>
      </c>
    </row>
    <row r="49" spans="5:16" x14ac:dyDescent="0.3">
      <c r="E49" s="2">
        <v>1.5</v>
      </c>
      <c r="F49" s="6">
        <f t="shared" si="8"/>
        <v>31.037080460645008</v>
      </c>
      <c r="G49" s="6">
        <f t="shared" si="9"/>
        <v>24.671856468680318</v>
      </c>
      <c r="H49" s="7">
        <f t="shared" si="10"/>
        <v>1.3617552242685379E-2</v>
      </c>
      <c r="I49" s="6">
        <f t="shared" si="0"/>
        <v>28.163293205520347</v>
      </c>
      <c r="J49" s="7">
        <f t="shared" si="7"/>
        <v>2.1714296373572747E-2</v>
      </c>
      <c r="K49" s="7">
        <f t="shared" si="1"/>
        <v>1.3995464787732462E-2</v>
      </c>
      <c r="L49" s="6">
        <f t="shared" si="2"/>
        <v>4.152176477378138E-4</v>
      </c>
      <c r="M49" s="6">
        <f t="shared" si="3"/>
        <v>0.17904803778666814</v>
      </c>
      <c r="N49" s="6">
        <f t="shared" si="4"/>
        <v>0.21553404413434959</v>
      </c>
      <c r="O49" s="2">
        <f t="shared" si="5"/>
        <v>19447.138271362081</v>
      </c>
      <c r="P49" s="2">
        <f t="shared" si="6"/>
        <v>15552.861728637919</v>
      </c>
    </row>
    <row r="50" spans="5:16" x14ac:dyDescent="0.3">
      <c r="E50" s="2">
        <v>1.55</v>
      </c>
      <c r="F50" s="6">
        <f t="shared" si="8"/>
        <v>31.252614504779359</v>
      </c>
      <c r="G50" s="6">
        <f t="shared" si="9"/>
        <v>24.850904506466986</v>
      </c>
      <c r="H50" s="7">
        <f t="shared" si="10"/>
        <v>1.4032769890423192E-2</v>
      </c>
      <c r="I50" s="6">
        <f t="shared" si="0"/>
        <v>28.365932911093349</v>
      </c>
      <c r="J50" s="7">
        <f t="shared" si="7"/>
        <v>2.2162290101604011E-2</v>
      </c>
      <c r="K50" s="7">
        <f t="shared" si="1"/>
        <v>1.4391302304955044E-2</v>
      </c>
      <c r="L50" s="6">
        <f t="shared" si="2"/>
        <v>4.1689847236824718E-4</v>
      </c>
      <c r="M50" s="6">
        <f t="shared" si="3"/>
        <v>0.18025786690391607</v>
      </c>
      <c r="N50" s="6">
        <f t="shared" si="4"/>
        <v>0.21650111952645074</v>
      </c>
      <c r="O50" s="2">
        <f t="shared" si="5"/>
        <v>19453.391748447604</v>
      </c>
      <c r="P50" s="2">
        <f t="shared" si="6"/>
        <v>15546.608251552396</v>
      </c>
    </row>
    <row r="51" spans="5:16" x14ac:dyDescent="0.3">
      <c r="E51" s="2">
        <v>1.6</v>
      </c>
      <c r="F51" s="6">
        <f t="shared" si="8"/>
        <v>31.469115624305811</v>
      </c>
      <c r="G51" s="6">
        <f t="shared" si="9"/>
        <v>25.031162373370901</v>
      </c>
      <c r="H51" s="7">
        <f t="shared" si="10"/>
        <v>1.444966836279144E-2</v>
      </c>
      <c r="I51" s="6">
        <f t="shared" ref="I51:I82" si="11">(hla*F51+hga*G51+Kua*DHev*(H51-0.62*A/P))/DEN</f>
        <v>28.569481836708633</v>
      </c>
      <c r="J51" s="7">
        <f t="shared" ref="J51:J82" si="12">0.62*(A+B*I51)/P</f>
        <v>2.2612293923734005E-2</v>
      </c>
      <c r="K51" s="7">
        <f t="shared" ref="K51:K82" si="13">0.62*(A+B*G51)/P</f>
        <v>1.4789814499654989E-2</v>
      </c>
      <c r="L51" s="6">
        <f t="shared" ref="L51:L82" si="14">Kua*dz*(J51-H51)/Gs</f>
        <v>4.1859618261243925E-4</v>
      </c>
      <c r="M51" s="6">
        <f t="shared" ref="M51:M82" si="15">(hga*dz*(I51-G51)/Gs/Cu)</f>
        <v>0.18145228017116574</v>
      </c>
      <c r="N51" s="6">
        <f t="shared" ref="N51:N82" si="16">hla*dz*(F51-I51)/$B$3</f>
        <v>0.21747253406978839</v>
      </c>
      <c r="O51" s="2">
        <f t="shared" ref="O51:O82" si="17">O52-Kua*dz*(J52-H52)</f>
        <v>19459.670691186791</v>
      </c>
      <c r="P51" s="2">
        <f t="shared" ref="P51:P82" si="18">Gs+$B$3-O51</f>
        <v>15540.329308813209</v>
      </c>
    </row>
    <row r="52" spans="5:16" x14ac:dyDescent="0.3">
      <c r="E52" s="2">
        <v>1.65</v>
      </c>
      <c r="F52" s="6">
        <f t="shared" si="8"/>
        <v>31.686588158375599</v>
      </c>
      <c r="G52" s="6">
        <f t="shared" si="9"/>
        <v>25.212614653542065</v>
      </c>
      <c r="H52" s="7">
        <f t="shared" si="10"/>
        <v>1.4868264545403879E-2</v>
      </c>
      <c r="I52" s="6">
        <f t="shared" si="11"/>
        <v>28.77394406192743</v>
      </c>
      <c r="J52" s="7">
        <f t="shared" si="12"/>
        <v>2.3064316859013778E-2</v>
      </c>
      <c r="K52" s="7">
        <f t="shared" si="13"/>
        <v>1.5190967290633397E-2</v>
      </c>
      <c r="L52" s="6">
        <f t="shared" si="14"/>
        <v>4.2031037505691794E-4</v>
      </c>
      <c r="M52" s="6">
        <f t="shared" si="15"/>
        <v>0.18263227735309565</v>
      </c>
      <c r="N52" s="6">
        <f t="shared" si="16"/>
        <v>0.21844830723361264</v>
      </c>
      <c r="O52" s="2">
        <f t="shared" si="17"/>
        <v>19465.975346812644</v>
      </c>
      <c r="P52" s="2">
        <f t="shared" si="18"/>
        <v>15534.024653187356</v>
      </c>
    </row>
    <row r="53" spans="5:16" x14ac:dyDescent="0.3">
      <c r="E53" s="2">
        <v>1.7</v>
      </c>
      <c r="F53" s="6">
        <f t="shared" si="8"/>
        <v>31.905036465609211</v>
      </c>
      <c r="G53" s="6">
        <f t="shared" si="9"/>
        <v>25.395246930895162</v>
      </c>
      <c r="H53" s="7">
        <f t="shared" si="10"/>
        <v>1.5288574920460797E-2</v>
      </c>
      <c r="I53" s="6">
        <f t="shared" si="11"/>
        <v>28.979323684615466</v>
      </c>
      <c r="J53" s="7">
        <f t="shared" si="12"/>
        <v>2.3518367966961721E-2</v>
      </c>
      <c r="K53" s="7">
        <f t="shared" si="13"/>
        <v>1.5594728806960599E-2</v>
      </c>
      <c r="L53" s="6">
        <f t="shared" si="14"/>
        <v>4.2204066905132947E-4</v>
      </c>
      <c r="M53" s="6">
        <f t="shared" si="15"/>
        <v>0.18379880788309247</v>
      </c>
      <c r="N53" s="6">
        <f t="shared" si="16"/>
        <v>0.21942845857453089</v>
      </c>
      <c r="O53" s="2">
        <f t="shared" si="17"/>
        <v>19472.305956848413</v>
      </c>
      <c r="P53" s="2">
        <f t="shared" si="18"/>
        <v>15527.694043151587</v>
      </c>
    </row>
    <row r="54" spans="5:16" x14ac:dyDescent="0.3">
      <c r="E54" s="2">
        <v>1.75</v>
      </c>
      <c r="F54" s="6">
        <f t="shared" si="8"/>
        <v>32.124464924183741</v>
      </c>
      <c r="G54" s="6">
        <f t="shared" si="9"/>
        <v>25.579045738778255</v>
      </c>
      <c r="H54" s="7">
        <f t="shared" si="10"/>
        <v>1.5710615589512127E-2</v>
      </c>
      <c r="I54" s="6">
        <f t="shared" si="11"/>
        <v>29.185624821025097</v>
      </c>
      <c r="J54" s="7">
        <f t="shared" si="12"/>
        <v>2.3974456347745216E-2</v>
      </c>
      <c r="K54" s="7">
        <f t="shared" si="13"/>
        <v>1.6001069276704243E-2</v>
      </c>
      <c r="L54" s="6">
        <f t="shared" si="14"/>
        <v>4.2378670555041486E-4</v>
      </c>
      <c r="M54" s="6">
        <f t="shared" si="15"/>
        <v>0.18495277344855601</v>
      </c>
      <c r="N54" s="6">
        <f t="shared" si="16"/>
        <v>0.22041300773689823</v>
      </c>
      <c r="O54" s="2">
        <f t="shared" si="17"/>
        <v>19478.66275743167</v>
      </c>
      <c r="P54" s="2">
        <f t="shared" si="18"/>
        <v>15521.33724256833</v>
      </c>
    </row>
    <row r="55" spans="5:16" x14ac:dyDescent="0.3">
      <c r="E55" s="2">
        <v>1.8</v>
      </c>
      <c r="F55" s="6">
        <f t="shared" si="8"/>
        <v>32.344877931920642</v>
      </c>
      <c r="G55" s="6">
        <f t="shared" si="9"/>
        <v>25.763998512226813</v>
      </c>
      <c r="H55" s="7">
        <f t="shared" si="10"/>
        <v>1.6134402295062543E-2</v>
      </c>
      <c r="I55" s="6">
        <f t="shared" si="11"/>
        <v>29.392851605877805</v>
      </c>
      <c r="J55" s="7">
        <f t="shared" si="12"/>
        <v>2.4432591142363014E-2</v>
      </c>
      <c r="K55" s="7">
        <f t="shared" si="13"/>
        <v>1.6409960921373014E-2</v>
      </c>
      <c r="L55" s="6">
        <f t="shared" si="14"/>
        <v>4.2554814601540879E-4</v>
      </c>
      <c r="M55" s="6">
        <f t="shared" si="15"/>
        <v>0.18609503044364062</v>
      </c>
      <c r="N55" s="6">
        <f t="shared" si="16"/>
        <v>0.22140197445321277</v>
      </c>
      <c r="O55" s="2">
        <f t="shared" si="17"/>
        <v>19485.0459796219</v>
      </c>
      <c r="P55" s="2">
        <f t="shared" si="18"/>
        <v>15514.9540203781</v>
      </c>
    </row>
    <row r="56" spans="5:16" x14ac:dyDescent="0.3">
      <c r="E56" s="2">
        <v>1.85</v>
      </c>
      <c r="F56" s="6">
        <f t="shared" si="8"/>
        <v>32.566279906373858</v>
      </c>
      <c r="G56" s="6">
        <f t="shared" si="9"/>
        <v>25.950093542670455</v>
      </c>
      <c r="H56" s="7">
        <f t="shared" si="10"/>
        <v>1.6559950441077952E-2</v>
      </c>
      <c r="I56" s="6">
        <f t="shared" si="11"/>
        <v>29.601008192447097</v>
      </c>
      <c r="J56" s="7">
        <f t="shared" si="12"/>
        <v>2.489278153282844E-2</v>
      </c>
      <c r="K56" s="7">
        <f t="shared" si="13"/>
        <v>1.6821377855782759E-2</v>
      </c>
      <c r="L56" s="6">
        <f t="shared" si="14"/>
        <v>4.2732467137181993E-4</v>
      </c>
      <c r="M56" s="6">
        <f t="shared" si="15"/>
        <v>0.18722639229623803</v>
      </c>
      <c r="N56" s="6">
        <f t="shared" si="16"/>
        <v>0.22239537854450706</v>
      </c>
      <c r="O56" s="2">
        <f t="shared" si="17"/>
        <v>19491.455849692476</v>
      </c>
      <c r="P56" s="2">
        <f t="shared" si="18"/>
        <v>15508.544150307524</v>
      </c>
    </row>
    <row r="57" spans="5:16" x14ac:dyDescent="0.3">
      <c r="E57" s="2">
        <v>1.9</v>
      </c>
      <c r="F57" s="6">
        <f t="shared" si="8"/>
        <v>32.788675284918362</v>
      </c>
      <c r="G57" s="6">
        <f t="shared" si="9"/>
        <v>26.137319934966694</v>
      </c>
      <c r="H57" s="7">
        <f t="shared" si="10"/>
        <v>1.6987275112449771E-2</v>
      </c>
      <c r="I57" s="6">
        <f t="shared" si="11"/>
        <v>29.810098752641672</v>
      </c>
      <c r="J57" s="7">
        <f t="shared" si="12"/>
        <v>2.5355036742353336E-2</v>
      </c>
      <c r="K57" s="7">
        <f t="shared" si="13"/>
        <v>1.7235295993067161E-2</v>
      </c>
      <c r="L57" s="6">
        <f t="shared" si="14"/>
        <v>4.2911598102069565E-4</v>
      </c>
      <c r="M57" s="6">
        <f t="shared" si="15"/>
        <v>0.18834763167563986</v>
      </c>
      <c r="N57" s="6">
        <f t="shared" si="16"/>
        <v>0.22339323992075177</v>
      </c>
      <c r="O57" s="2">
        <f t="shared" si="17"/>
        <v>19497.892589407787</v>
      </c>
      <c r="P57" s="2">
        <f t="shared" si="18"/>
        <v>15502.107410592213</v>
      </c>
    </row>
    <row r="58" spans="5:16" x14ac:dyDescent="0.3">
      <c r="E58" s="2">
        <v>1.95</v>
      </c>
      <c r="F58" s="6">
        <f>F57+N57</f>
        <v>33.012068524839115</v>
      </c>
      <c r="G58" s="6">
        <f>G57+M57</f>
        <v>26.325667566642334</v>
      </c>
      <c r="H58" s="7">
        <f>H57+L57</f>
        <v>1.7416391093470467E-2</v>
      </c>
      <c r="I58" s="6">
        <f t="shared" si="11"/>
        <v>30.020127477089126</v>
      </c>
      <c r="J58" s="7">
        <f t="shared" si="12"/>
        <v>2.5819366035533094E-2</v>
      </c>
      <c r="K58" s="7">
        <f t="shared" si="13"/>
        <v>1.7651692954569018E-2</v>
      </c>
      <c r="L58" s="6">
        <f t="shared" si="14"/>
        <v>4.3092179190064756E-4</v>
      </c>
      <c r="M58" s="6">
        <f t="shared" si="15"/>
        <v>0.18945948258701498</v>
      </c>
      <c r="N58" s="6">
        <f t="shared" si="16"/>
        <v>0.22439557858124923</v>
      </c>
      <c r="O58" s="2">
        <f t="shared" si="17"/>
        <v>19504.356416286297</v>
      </c>
      <c r="P58" s="2">
        <f t="shared" si="18"/>
        <v>15495.643583713703</v>
      </c>
    </row>
    <row r="59" spans="5:16" x14ac:dyDescent="0.3">
      <c r="E59" s="2">
        <v>2</v>
      </c>
      <c r="F59" s="6">
        <f t="shared" ref="F59:F91" si="19">F58+N58</f>
        <v>33.236464103420367</v>
      </c>
      <c r="G59" s="6">
        <f t="shared" ref="G59:G91" si="20">G58+M58</f>
        <v>26.515127049229349</v>
      </c>
      <c r="H59" s="7">
        <f t="shared" ref="H59:H91" si="21">H58+L58</f>
        <v>1.7847312885371114E-2</v>
      </c>
      <c r="I59" s="6">
        <f t="shared" si="11"/>
        <v>30.231098575219882</v>
      </c>
      <c r="J59" s="7">
        <f t="shared" si="12"/>
        <v>2.6285778718532164E-2</v>
      </c>
      <c r="K59" s="7">
        <f t="shared" si="13"/>
        <v>1.8070547984362043E-2</v>
      </c>
      <c r="L59" s="6">
        <f t="shared" si="14"/>
        <v>4.3274183759800256E-4</v>
      </c>
      <c r="M59" s="6">
        <f t="shared" si="15"/>
        <v>0.19056264235848885</v>
      </c>
      <c r="N59" s="6">
        <f t="shared" si="16"/>
        <v>0.22540241461503643</v>
      </c>
      <c r="O59" s="2">
        <f t="shared" si="17"/>
        <v>19510.847543850268</v>
      </c>
      <c r="P59" s="2">
        <f t="shared" si="18"/>
        <v>15489.152456149732</v>
      </c>
    </row>
    <row r="60" spans="5:16" x14ac:dyDescent="0.3">
      <c r="E60" s="2">
        <v>2.0499999999999998</v>
      </c>
      <c r="F60" s="6">
        <f t="shared" si="19"/>
        <v>33.461866518035407</v>
      </c>
      <c r="G60" s="6">
        <f t="shared" si="20"/>
        <v>26.705689691587839</v>
      </c>
      <c r="H60" s="7">
        <f t="shared" si="21"/>
        <v>1.8280054722969116E-2</v>
      </c>
      <c r="I60" s="6">
        <f t="shared" si="11"/>
        <v>30.443016275351575</v>
      </c>
      <c r="J60" s="7">
        <f t="shared" si="12"/>
        <v>2.6754284139270678E-2</v>
      </c>
      <c r="K60" s="7">
        <f t="shared" si="13"/>
        <v>1.8491841868165642E-2</v>
      </c>
      <c r="L60" s="6">
        <f t="shared" si="14"/>
        <v>4.3457586750264424E-4</v>
      </c>
      <c r="M60" s="6">
        <f t="shared" si="15"/>
        <v>0.19165777352634539</v>
      </c>
      <c r="N60" s="6">
        <f t="shared" si="16"/>
        <v>0.22641376820128745</v>
      </c>
      <c r="O60" s="2">
        <f t="shared" si="17"/>
        <v>19517.366181862806</v>
      </c>
      <c r="P60" s="2">
        <f t="shared" si="18"/>
        <v>15482.633818137194</v>
      </c>
    </row>
    <row r="61" spans="5:16" x14ac:dyDescent="0.3">
      <c r="E61" s="2">
        <v>2.1</v>
      </c>
      <c r="F61" s="6">
        <f t="shared" si="19"/>
        <v>33.688280286236697</v>
      </c>
      <c r="G61" s="6">
        <f t="shared" si="20"/>
        <v>26.897347465114184</v>
      </c>
      <c r="H61" s="7">
        <f t="shared" si="21"/>
        <v>1.8714630590471761E-2</v>
      </c>
      <c r="I61" s="6">
        <f t="shared" si="11"/>
        <v>30.655884824773789</v>
      </c>
      <c r="J61" s="7">
        <f t="shared" si="12"/>
        <v>2.7224891687611739E-2</v>
      </c>
      <c r="K61" s="7">
        <f t="shared" si="13"/>
        <v>1.8915556856427443E-2</v>
      </c>
      <c r="L61" s="6">
        <f t="shared" si="14"/>
        <v>4.3642364600717838E-4</v>
      </c>
      <c r="M61" s="6">
        <f t="shared" si="15"/>
        <v>0.19274550562356951</v>
      </c>
      <c r="N61" s="6">
        <f t="shared" si="16"/>
        <v>0.22742965960971809</v>
      </c>
      <c r="O61" s="2">
        <f t="shared" si="17"/>
        <v>19523.912536552914</v>
      </c>
      <c r="P61" s="2">
        <f t="shared" si="18"/>
        <v>15476.087463447086</v>
      </c>
    </row>
    <row r="62" spans="5:16" x14ac:dyDescent="0.3">
      <c r="E62" s="2">
        <v>2.15</v>
      </c>
      <c r="F62" s="6">
        <f t="shared" si="19"/>
        <v>33.915709945846416</v>
      </c>
      <c r="G62" s="6">
        <f t="shared" si="20"/>
        <v>27.090092970737754</v>
      </c>
      <c r="H62" s="7">
        <f t="shared" si="21"/>
        <v>1.9151054236478941E-2</v>
      </c>
      <c r="I62" s="6">
        <f t="shared" si="11"/>
        <v>30.869708489833183</v>
      </c>
      <c r="J62" s="7">
        <f t="shared" si="12"/>
        <v>2.769761079554962E-2</v>
      </c>
      <c r="K62" s="7">
        <f t="shared" si="13"/>
        <v>1.9341676591359963E-2</v>
      </c>
      <c r="L62" s="6">
        <f t="shared" si="14"/>
        <v>4.3828495174721434E-4</v>
      </c>
      <c r="M62" s="6">
        <f t="shared" si="15"/>
        <v>0.19382643687668868</v>
      </c>
      <c r="N62" s="6">
        <f t="shared" si="16"/>
        <v>0.22845010920099248</v>
      </c>
      <c r="O62" s="2">
        <f t="shared" si="17"/>
        <v>19530.486810829123</v>
      </c>
      <c r="P62" s="2">
        <f t="shared" si="18"/>
        <v>15469.513189170877</v>
      </c>
    </row>
    <row r="63" spans="5:16" x14ac:dyDescent="0.3">
      <c r="E63" s="2">
        <v>2.2000000000000002</v>
      </c>
      <c r="F63" s="6">
        <f t="shared" si="19"/>
        <v>34.144160055047408</v>
      </c>
      <c r="G63" s="6">
        <f t="shared" si="20"/>
        <v>27.283919407614441</v>
      </c>
      <c r="H63" s="7">
        <f t="shared" si="21"/>
        <v>1.9589339188226154E-2</v>
      </c>
      <c r="I63" s="6">
        <f t="shared" si="11"/>
        <v>31.084491556019014</v>
      </c>
      <c r="J63" s="7">
        <f t="shared" si="12"/>
        <v>2.8172450937398875E-2</v>
      </c>
      <c r="K63" s="7">
        <f t="shared" si="13"/>
        <v>1.9770186037728663E-2</v>
      </c>
      <c r="L63" s="6">
        <f t="shared" si="14"/>
        <v>4.4015957688065238E-4</v>
      </c>
      <c r="M63" s="6">
        <f t="shared" si="15"/>
        <v>0.1949011358156191</v>
      </c>
      <c r="N63" s="6">
        <f t="shared" si="16"/>
        <v>0.22947513742712955</v>
      </c>
      <c r="O63" s="2">
        <f t="shared" si="17"/>
        <v>19537.089204482334</v>
      </c>
      <c r="P63" s="2">
        <f t="shared" si="18"/>
        <v>15462.910795517666</v>
      </c>
    </row>
    <row r="64" spans="5:16" x14ac:dyDescent="0.3">
      <c r="E64" s="2">
        <v>2.25</v>
      </c>
      <c r="F64" s="6">
        <f t="shared" si="19"/>
        <v>34.373635192474538</v>
      </c>
      <c r="G64" s="6">
        <f t="shared" si="20"/>
        <v>27.478820543430061</v>
      </c>
      <c r="H64" s="7">
        <f t="shared" si="21"/>
        <v>2.0029498765106808E-2</v>
      </c>
      <c r="I64" s="6">
        <f t="shared" si="11"/>
        <v>31.300238328049009</v>
      </c>
      <c r="J64" s="7">
        <f t="shared" si="12"/>
        <v>2.8649421629984136E-2</v>
      </c>
      <c r="K64" s="7">
        <f t="shared" si="13"/>
        <v>2.0201071417198929E-2</v>
      </c>
      <c r="L64" s="6">
        <f t="shared" si="14"/>
        <v>4.4204732640396559E-4</v>
      </c>
      <c r="M64" s="6">
        <f t="shared" si="15"/>
        <v>0.19597014280097166</v>
      </c>
      <c r="N64" s="6">
        <f t="shared" si="16"/>
        <v>0.23050476483191468</v>
      </c>
      <c r="O64" s="2">
        <f t="shared" si="17"/>
        <v>19543.719914378395</v>
      </c>
      <c r="P64" s="2">
        <f t="shared" si="18"/>
        <v>15456.280085621605</v>
      </c>
    </row>
    <row r="65" spans="5:16" x14ac:dyDescent="0.3">
      <c r="E65" s="2">
        <v>2.2999999999999998</v>
      </c>
      <c r="F65" s="6">
        <f t="shared" si="19"/>
        <v>34.604139957306451</v>
      </c>
      <c r="G65" s="6">
        <f t="shared" si="20"/>
        <v>27.674790686231031</v>
      </c>
      <c r="H65" s="7">
        <f t="shared" si="21"/>
        <v>2.0471546091510771E-2</v>
      </c>
      <c r="I65" s="6">
        <f t="shared" si="11"/>
        <v>31.516953129955649</v>
      </c>
      <c r="J65" s="7">
        <f t="shared" si="12"/>
        <v>2.9128532432830895E-2</v>
      </c>
      <c r="K65" s="7">
        <f t="shared" si="13"/>
        <v>2.0634320146059707E-2</v>
      </c>
      <c r="L65" s="6">
        <f t="shared" si="14"/>
        <v>4.4394801750359612E-4</v>
      </c>
      <c r="M65" s="6">
        <f t="shared" si="15"/>
        <v>0.19703397147305732</v>
      </c>
      <c r="N65" s="6">
        <f t="shared" si="16"/>
        <v>0.23153901205131014</v>
      </c>
      <c r="O65" s="2">
        <f t="shared" si="17"/>
        <v>19550.379134640949</v>
      </c>
      <c r="P65" s="2">
        <f t="shared" si="18"/>
        <v>15449.620865359051</v>
      </c>
    </row>
    <row r="66" spans="5:16" x14ac:dyDescent="0.3">
      <c r="E66" s="2">
        <v>2.35</v>
      </c>
      <c r="F66" s="6">
        <f t="shared" si="19"/>
        <v>34.835678969357758</v>
      </c>
      <c r="G66" s="6">
        <f t="shared" si="20"/>
        <v>27.871824657704089</v>
      </c>
      <c r="H66" s="7">
        <f t="shared" si="21"/>
        <v>2.0915494109014367E-2</v>
      </c>
      <c r="I66" s="6">
        <f t="shared" si="11"/>
        <v>31.734640305172814</v>
      </c>
      <c r="J66" s="7">
        <f t="shared" si="12"/>
        <v>2.9609792948357055E-2</v>
      </c>
      <c r="K66" s="7">
        <f t="shared" si="13"/>
        <v>2.1069920776150539E-2</v>
      </c>
      <c r="L66" s="6">
        <f t="shared" si="14"/>
        <v>4.4586147894065074E-4</v>
      </c>
      <c r="M66" s="6">
        <f t="shared" si="15"/>
        <v>0.19809311012660127</v>
      </c>
      <c r="N66" s="6">
        <f t="shared" si="16"/>
        <v>0.23257789981387081</v>
      </c>
      <c r="O66" s="2">
        <f t="shared" si="17"/>
        <v>19557.067056825057</v>
      </c>
      <c r="P66" s="2">
        <f t="shared" si="18"/>
        <v>15442.932943174943</v>
      </c>
    </row>
    <row r="67" spans="5:16" x14ac:dyDescent="0.3">
      <c r="E67" s="2">
        <v>2.4</v>
      </c>
      <c r="F67" s="6">
        <f t="shared" si="19"/>
        <v>35.068256869171627</v>
      </c>
      <c r="G67" s="6">
        <f t="shared" si="20"/>
        <v>28.069917767830692</v>
      </c>
      <c r="H67" s="7">
        <f t="shared" si="21"/>
        <v>2.1361355587955017E-2</v>
      </c>
      <c r="I67" s="6">
        <f t="shared" si="11"/>
        <v>31.95330421662289</v>
      </c>
      <c r="J67" s="7">
        <f t="shared" si="12"/>
        <v>3.00932128220655E-2</v>
      </c>
      <c r="K67" s="7">
        <f t="shared" si="13"/>
        <v>2.1507862938827796E-2</v>
      </c>
      <c r="L67" s="6">
        <f t="shared" si="14"/>
        <v>4.4778755046720432E-4</v>
      </c>
      <c r="M67" s="6">
        <f t="shared" si="15"/>
        <v>0.19914802301498449</v>
      </c>
      <c r="N67" s="6">
        <f t="shared" si="16"/>
        <v>0.2336214489411553</v>
      </c>
      <c r="O67" s="2">
        <f t="shared" si="17"/>
        <v>19563.783870082065</v>
      </c>
      <c r="P67" s="2">
        <f t="shared" si="18"/>
        <v>15436.216129917935</v>
      </c>
    </row>
    <row r="68" spans="5:16" x14ac:dyDescent="0.3">
      <c r="E68" s="2">
        <v>2.4500000000000002</v>
      </c>
      <c r="F68" s="6">
        <f t="shared" si="19"/>
        <v>35.301878318112784</v>
      </c>
      <c r="G68" s="6">
        <f t="shared" si="20"/>
        <v>28.269065790845676</v>
      </c>
      <c r="H68" s="7">
        <f t="shared" si="21"/>
        <v>2.1809143138422221E-2</v>
      </c>
      <c r="I68" s="6">
        <f t="shared" si="11"/>
        <v>32.172949246804123</v>
      </c>
      <c r="J68" s="7">
        <f t="shared" si="12"/>
        <v>3.0578801742737222E-2</v>
      </c>
      <c r="K68" s="7">
        <f t="shared" si="13"/>
        <v>2.194813729181435E-2</v>
      </c>
      <c r="L68" s="6">
        <f t="shared" si="14"/>
        <v>4.4972608227256421E-4</v>
      </c>
      <c r="M68" s="6">
        <f t="shared" si="15"/>
        <v>0.20019915158761264</v>
      </c>
      <c r="N68" s="6">
        <f t="shared" si="16"/>
        <v>0.23466968034814964</v>
      </c>
      <c r="O68" s="2">
        <f t="shared" si="17"/>
        <v>19570.529761316153</v>
      </c>
      <c r="P68" s="2">
        <f t="shared" si="18"/>
        <v>15429.470238683847</v>
      </c>
    </row>
    <row r="69" spans="5:16" x14ac:dyDescent="0.3">
      <c r="E69" s="2">
        <v>2.5</v>
      </c>
      <c r="F69" s="6">
        <f t="shared" si="19"/>
        <v>35.536547998460932</v>
      </c>
      <c r="G69" s="6">
        <f t="shared" si="20"/>
        <v>28.469264942433288</v>
      </c>
      <c r="H69" s="7">
        <f t="shared" si="21"/>
        <v>2.2258869220694786E-2</v>
      </c>
      <c r="I69" s="6">
        <f t="shared" si="11"/>
        <v>32.39357979787853</v>
      </c>
      <c r="J69" s="7">
        <f t="shared" si="12"/>
        <v>3.1066569442625671E-2</v>
      </c>
      <c r="K69" s="7">
        <f t="shared" si="13"/>
        <v>2.2390735468784749E-2</v>
      </c>
      <c r="L69" s="6">
        <f t="shared" si="14"/>
        <v>4.5167693445799414E-4</v>
      </c>
      <c r="M69" s="6">
        <f t="shared" si="15"/>
        <v>0.20124691566385861</v>
      </c>
      <c r="N69" s="6">
        <f t="shared" si="16"/>
        <v>0.23572261504368017</v>
      </c>
      <c r="O69" s="2">
        <f t="shared" si="17"/>
        <v>19577.304915333021</v>
      </c>
      <c r="P69" s="2">
        <f t="shared" si="18"/>
        <v>15422.695084666979</v>
      </c>
    </row>
    <row r="70" spans="5:16" x14ac:dyDescent="0.3">
      <c r="E70" s="2">
        <v>2.5499999999999998</v>
      </c>
      <c r="F70" s="6">
        <f t="shared" si="19"/>
        <v>35.77227061350461</v>
      </c>
      <c r="G70" s="6">
        <f t="shared" si="20"/>
        <v>28.670511858097147</v>
      </c>
      <c r="H70" s="7">
        <f t="shared" si="21"/>
        <v>2.2710546155152781E-2</v>
      </c>
      <c r="I70" s="6">
        <f t="shared" si="11"/>
        <v>32.615200291760111</v>
      </c>
      <c r="J70" s="7">
        <f t="shared" si="12"/>
        <v>3.1556525697651765E-2</v>
      </c>
      <c r="K70" s="7">
        <f t="shared" si="13"/>
        <v>2.2835650031545827E-2</v>
      </c>
      <c r="L70" s="6">
        <f t="shared" si="14"/>
        <v>4.5363997653840947E-4</v>
      </c>
      <c r="M70" s="6">
        <f t="shared" si="15"/>
        <v>0.20229171454681869</v>
      </c>
      <c r="N70" s="6">
        <f t="shared" si="16"/>
        <v>0.23678027413083741</v>
      </c>
      <c r="O70" s="2">
        <f t="shared" si="17"/>
        <v>19584.109514981097</v>
      </c>
      <c r="P70" s="2">
        <f t="shared" si="18"/>
        <v>15415.890485018903</v>
      </c>
    </row>
    <row r="71" spans="5:16" x14ac:dyDescent="0.3">
      <c r="E71" s="2">
        <v>2.6</v>
      </c>
      <c r="F71" s="6">
        <f t="shared" si="19"/>
        <v>36.009050887635446</v>
      </c>
      <c r="G71" s="6">
        <f t="shared" si="20"/>
        <v>28.872803572643964</v>
      </c>
      <c r="H71" s="7">
        <f t="shared" si="21"/>
        <v>2.3164186131691189E-2</v>
      </c>
      <c r="I71" s="6">
        <f t="shared" si="11"/>
        <v>32.837815170203434</v>
      </c>
      <c r="J71" s="7">
        <f t="shared" si="12"/>
        <v>3.2048680327599749E-2</v>
      </c>
      <c r="K71" s="7">
        <f t="shared" si="13"/>
        <v>2.328287442467946E-2</v>
      </c>
      <c r="L71" s="6">
        <f t="shared" si="14"/>
        <v>4.5561508696966973E-4</v>
      </c>
      <c r="M71" s="6">
        <f t="shared" si="15"/>
        <v>0.20333392807997283</v>
      </c>
      <c r="N71" s="6">
        <f t="shared" si="16"/>
        <v>0.2378426788074009</v>
      </c>
      <c r="O71" s="2">
        <f t="shared" si="17"/>
        <v>19590.943741285642</v>
      </c>
      <c r="P71" s="2">
        <f t="shared" si="18"/>
        <v>15409.056258714358</v>
      </c>
    </row>
    <row r="72" spans="5:16" x14ac:dyDescent="0.3">
      <c r="E72" s="2">
        <v>2.65</v>
      </c>
      <c r="F72" s="6">
        <f t="shared" si="19"/>
        <v>36.24689356644285</v>
      </c>
      <c r="G72" s="6">
        <f t="shared" si="20"/>
        <v>29.076137500723938</v>
      </c>
      <c r="H72" s="7">
        <f t="shared" si="21"/>
        <v>2.361980121866086E-2</v>
      </c>
      <c r="I72" s="6">
        <f t="shared" si="11"/>
        <v>33.061428894892714</v>
      </c>
      <c r="J72" s="7">
        <f t="shared" si="12"/>
        <v>3.2543043196314132E-2</v>
      </c>
      <c r="K72" s="7">
        <f t="shared" si="13"/>
        <v>2.3732402932521528E-2</v>
      </c>
      <c r="L72" s="6">
        <f t="shared" si="14"/>
        <v>4.5760215270016787E-4</v>
      </c>
      <c r="M72" s="6">
        <f t="shared" si="15"/>
        <v>0.2043739176496808</v>
      </c>
      <c r="N72" s="6">
        <f t="shared" si="16"/>
        <v>0.2389098503662602</v>
      </c>
      <c r="O72" s="2">
        <f t="shared" si="17"/>
        <v>19597.807773576144</v>
      </c>
      <c r="P72" s="2">
        <f t="shared" si="18"/>
        <v>15402.192226423856</v>
      </c>
    </row>
    <row r="73" spans="5:16" x14ac:dyDescent="0.3">
      <c r="E73" s="2">
        <v>2.7</v>
      </c>
      <c r="F73" s="6">
        <f t="shared" si="19"/>
        <v>36.485803416809112</v>
      </c>
      <c r="G73" s="6">
        <f t="shared" si="20"/>
        <v>29.280511418373617</v>
      </c>
      <c r="H73" s="7">
        <f t="shared" si="21"/>
        <v>2.4077403371361026E-2</v>
      </c>
      <c r="I73" s="6">
        <f t="shared" si="11"/>
        <v>33.286045947531186</v>
      </c>
      <c r="J73" s="7">
        <f t="shared" si="12"/>
        <v>3.3039624211897232E-2</v>
      </c>
      <c r="K73" s="7">
        <f t="shared" si="13"/>
        <v>2.4184230638357038E-2</v>
      </c>
      <c r="L73" s="6">
        <f t="shared" si="14"/>
        <v>4.5960106874544653E-4</v>
      </c>
      <c r="M73" s="6">
        <f t="shared" si="15"/>
        <v>0.20541202713628556</v>
      </c>
      <c r="N73" s="6">
        <f t="shared" si="16"/>
        <v>0.2399818101958445</v>
      </c>
      <c r="O73" s="2">
        <f t="shared" si="17"/>
        <v>19604.701789607327</v>
      </c>
      <c r="P73" s="2">
        <f t="shared" si="18"/>
        <v>15395.298210392673</v>
      </c>
    </row>
    <row r="74" spans="5:16" x14ac:dyDescent="0.3">
      <c r="E74" s="2">
        <v>2.75</v>
      </c>
      <c r="F74" s="6">
        <f t="shared" si="19"/>
        <v>36.725785227004955</v>
      </c>
      <c r="G74" s="6">
        <f t="shared" si="20"/>
        <v>29.485923445509904</v>
      </c>
      <c r="H74" s="7">
        <f t="shared" si="21"/>
        <v>2.4537004440106473E-2</v>
      </c>
      <c r="I74" s="6">
        <f t="shared" si="11"/>
        <v>33.511670829930964</v>
      </c>
      <c r="J74" s="7">
        <f t="shared" si="12"/>
        <v>3.3538433326907903E-2</v>
      </c>
      <c r="K74" s="7">
        <f t="shared" si="13"/>
        <v>2.4638353385718084E-2</v>
      </c>
      <c r="L74" s="6">
        <f t="shared" si="14"/>
        <v>4.6161173778468871E-4</v>
      </c>
      <c r="M74" s="6">
        <f t="shared" si="15"/>
        <v>0.20644858381646461</v>
      </c>
      <c r="N74" s="6">
        <f t="shared" si="16"/>
        <v>0.24105857978054937</v>
      </c>
      <c r="O74" s="2">
        <f t="shared" si="17"/>
        <v>19611.625965674099</v>
      </c>
      <c r="P74" s="2">
        <f t="shared" si="18"/>
        <v>15388.374034325901</v>
      </c>
    </row>
    <row r="75" spans="5:16" x14ac:dyDescent="0.3">
      <c r="E75" s="2">
        <v>2.8</v>
      </c>
      <c r="F75" s="6">
        <f t="shared" si="19"/>
        <v>36.966843806785505</v>
      </c>
      <c r="G75" s="6">
        <f t="shared" si="20"/>
        <v>29.692372029326368</v>
      </c>
      <c r="H75" s="7">
        <f t="shared" si="21"/>
        <v>2.4998616177891161E-2</v>
      </c>
      <c r="I75" s="6">
        <f t="shared" si="11"/>
        <v>33.738308064103244</v>
      </c>
      <c r="J75" s="7">
        <f t="shared" si="12"/>
        <v>3.4039480538560887E-2</v>
      </c>
      <c r="K75" s="7">
        <f t="shared" si="13"/>
        <v>2.5094767741676533E-2</v>
      </c>
      <c r="L75" s="6">
        <f t="shared" si="14"/>
        <v>4.6363406977793472E-4</v>
      </c>
      <c r="M75" s="6">
        <f t="shared" si="15"/>
        <v>0.20748389921932694</v>
      </c>
      <c r="N75" s="6">
        <f t="shared" si="16"/>
        <v>0.24214018070116958</v>
      </c>
      <c r="O75" s="2">
        <f t="shared" si="17"/>
        <v>19618.580476720766</v>
      </c>
      <c r="P75" s="2">
        <f t="shared" si="18"/>
        <v>15381.419523279234</v>
      </c>
    </row>
    <row r="76" spans="5:16" x14ac:dyDescent="0.3">
      <c r="E76" s="2">
        <v>2.85</v>
      </c>
      <c r="F76" s="6">
        <f t="shared" si="19"/>
        <v>37.208983987486675</v>
      </c>
      <c r="G76" s="6">
        <f t="shared" si="20"/>
        <v>29.899855928545694</v>
      </c>
      <c r="H76" s="7">
        <f t="shared" si="21"/>
        <v>2.5462250247669096E-2</v>
      </c>
      <c r="I76" s="6">
        <f t="shared" si="11"/>
        <v>33.965962192348947</v>
      </c>
      <c r="J76" s="7">
        <f t="shared" si="12"/>
        <v>3.4542775888927235E-2</v>
      </c>
      <c r="K76" s="7">
        <f t="shared" si="13"/>
        <v>2.5553470962029569E-2</v>
      </c>
      <c r="L76" s="6">
        <f t="shared" si="14"/>
        <v>4.6566798160298153E-4</v>
      </c>
      <c r="M76" s="6">
        <f t="shared" si="15"/>
        <v>0.20851826993862832</v>
      </c>
      <c r="N76" s="6">
        <f t="shared" si="16"/>
        <v>0.24322663463532967</v>
      </c>
      <c r="O76" s="2">
        <f t="shared" si="17"/>
        <v>19625.565496444811</v>
      </c>
      <c r="P76" s="2">
        <f t="shared" si="18"/>
        <v>15374.434503555189</v>
      </c>
    </row>
    <row r="77" spans="5:16" x14ac:dyDescent="0.3">
      <c r="E77" s="2">
        <v>2.9</v>
      </c>
      <c r="F77" s="6">
        <f t="shared" si="19"/>
        <v>37.452210622122003</v>
      </c>
      <c r="G77" s="6">
        <f t="shared" si="20"/>
        <v>30.108374198484324</v>
      </c>
      <c r="H77" s="7">
        <f t="shared" si="21"/>
        <v>2.5927918229272078E-2</v>
      </c>
      <c r="I77" s="6">
        <f t="shared" si="11"/>
        <v>34.194637777349769</v>
      </c>
      <c r="J77" s="7">
        <f t="shared" si="12"/>
        <v>3.5048329465135634E-2</v>
      </c>
      <c r="K77" s="7">
        <f t="shared" si="13"/>
        <v>2.6014460958280743E-2</v>
      </c>
      <c r="L77" s="6">
        <f t="shared" si="14"/>
        <v>4.677133967109516E-4</v>
      </c>
      <c r="M77" s="6">
        <f t="shared" si="15"/>
        <v>0.20955197840335615</v>
      </c>
      <c r="N77" s="6">
        <f t="shared" si="16"/>
        <v>0.24431796335791756</v>
      </c>
      <c r="O77" s="2">
        <f t="shared" si="17"/>
        <v>19632.581197395477</v>
      </c>
      <c r="P77" s="2">
        <f t="shared" si="18"/>
        <v>15367.418802604523</v>
      </c>
    </row>
    <row r="78" spans="5:16" x14ac:dyDescent="0.3">
      <c r="E78" s="2">
        <v>2.95</v>
      </c>
      <c r="F78" s="6">
        <f t="shared" si="19"/>
        <v>37.696528585479918</v>
      </c>
      <c r="G78" s="6">
        <f t="shared" si="20"/>
        <v>30.317926176887681</v>
      </c>
      <c r="H78" s="7">
        <f t="shared" si="21"/>
        <v>2.6395631625983029E-2</v>
      </c>
      <c r="I78" s="6">
        <f t="shared" si="11"/>
        <v>34.424339402259577</v>
      </c>
      <c r="J78" s="7">
        <f t="shared" si="12"/>
        <v>3.5556151399574396E-2</v>
      </c>
      <c r="K78" s="7">
        <f t="shared" si="13"/>
        <v>2.6477736266324579E-2</v>
      </c>
      <c r="L78" s="6">
        <f t="shared" si="14"/>
        <v>4.697702447995573E-4</v>
      </c>
      <c r="M78" s="6">
        <f t="shared" si="15"/>
        <v>0.21058529360881514</v>
      </c>
      <c r="N78" s="6">
        <f t="shared" si="16"/>
        <v>0.2454141887415256</v>
      </c>
      <c r="O78" s="2">
        <f t="shared" si="17"/>
        <v>19639.62775106747</v>
      </c>
      <c r="P78" s="2">
        <f t="shared" si="18"/>
        <v>15360.37224893253</v>
      </c>
    </row>
    <row r="79" spans="5:16" x14ac:dyDescent="0.3">
      <c r="E79" s="2">
        <v>3</v>
      </c>
      <c r="F79" s="6">
        <f t="shared" si="19"/>
        <v>37.941942774221445</v>
      </c>
      <c r="G79" s="6">
        <f t="shared" si="20"/>
        <v>30.528511470496497</v>
      </c>
      <c r="H79" s="7">
        <f t="shared" si="21"/>
        <v>2.6865401870782585E-2</v>
      </c>
      <c r="I79" s="6">
        <f t="shared" si="11"/>
        <v>34.655071670796325</v>
      </c>
      <c r="J79" s="7">
        <f t="shared" si="12"/>
        <v>3.6066251870094719E-2</v>
      </c>
      <c r="K79" s="7">
        <f t="shared" si="13"/>
        <v>2.6943296016747654E-2</v>
      </c>
      <c r="L79" s="6">
        <f t="shared" si="14"/>
        <v>4.7183846150318634E-4</v>
      </c>
      <c r="M79" s="6">
        <f t="shared" si="15"/>
        <v>0.21161847181024754</v>
      </c>
      <c r="N79" s="6">
        <f t="shared" si="16"/>
        <v>0.24651533275688403</v>
      </c>
      <c r="O79" s="2">
        <f t="shared" si="17"/>
        <v>19646.705327990017</v>
      </c>
      <c r="P79" s="2">
        <f t="shared" si="18"/>
        <v>15353.294672009983</v>
      </c>
    </row>
    <row r="80" spans="5:16" x14ac:dyDescent="0.3">
      <c r="E80" s="2">
        <v>3.05</v>
      </c>
      <c r="F80" s="6">
        <f t="shared" si="19"/>
        <v>38.188458106978331</v>
      </c>
      <c r="G80" s="6">
        <f t="shared" si="20"/>
        <v>30.740129942306744</v>
      </c>
      <c r="H80" s="7">
        <f t="shared" si="21"/>
        <v>2.7337240332285771E-2</v>
      </c>
      <c r="I80" s="6">
        <f t="shared" si="11"/>
        <v>34.886839207334297</v>
      </c>
      <c r="J80" s="7">
        <f t="shared" si="12"/>
        <v>3.6578641100214589E-2</v>
      </c>
      <c r="K80" s="7">
        <f t="shared" si="13"/>
        <v>2.7411139906662885E-2</v>
      </c>
      <c r="L80" s="6">
        <f t="shared" si="14"/>
        <v>4.7391798809891375E-4</v>
      </c>
      <c r="M80" s="6">
        <f t="shared" si="15"/>
        <v>0.21265175718090015</v>
      </c>
      <c r="N80" s="6">
        <f t="shared" si="16"/>
        <v>0.24762141747330252</v>
      </c>
      <c r="O80" s="2">
        <f t="shared" si="17"/>
        <v>19653.814097811501</v>
      </c>
      <c r="P80" s="2">
        <f t="shared" si="18"/>
        <v>15346.185902188499</v>
      </c>
    </row>
    <row r="81" spans="5:16" x14ac:dyDescent="0.3">
      <c r="E81" s="2">
        <v>3.1</v>
      </c>
      <c r="F81" s="6">
        <f t="shared" si="19"/>
        <v>38.436079524451635</v>
      </c>
      <c r="G81" s="6">
        <f t="shared" si="20"/>
        <v>30.952781699487645</v>
      </c>
      <c r="H81" s="7">
        <f t="shared" si="21"/>
        <v>2.7811158320384683E-2</v>
      </c>
      <c r="I81" s="6">
        <f t="shared" si="11"/>
        <v>35.119646656996778</v>
      </c>
      <c r="J81" s="7">
        <f t="shared" si="12"/>
        <v>3.7093329359323669E-2</v>
      </c>
      <c r="K81" s="7">
        <f t="shared" si="13"/>
        <v>2.7881268172998862E-2</v>
      </c>
      <c r="L81" s="6">
        <f t="shared" si="14"/>
        <v>4.7600877122764039E-4</v>
      </c>
      <c r="M81" s="6">
        <f t="shared" si="15"/>
        <v>0.21368538243636581</v>
      </c>
      <c r="N81" s="6">
        <f t="shared" si="16"/>
        <v>0.24873246505911428</v>
      </c>
      <c r="O81" s="2">
        <f t="shared" si="17"/>
        <v>19660.954229379917</v>
      </c>
      <c r="P81" s="2">
        <f t="shared" si="18"/>
        <v>15339.045770620083</v>
      </c>
    </row>
    <row r="82" spans="5:16" x14ac:dyDescent="0.3">
      <c r="E82" s="2">
        <v>3.15</v>
      </c>
      <c r="F82" s="6">
        <f t="shared" si="19"/>
        <v>38.684811989510749</v>
      </c>
      <c r="G82" s="6">
        <f t="shared" si="20"/>
        <v>31.166467081924011</v>
      </c>
      <c r="H82" s="7">
        <f t="shared" si="21"/>
        <v>2.8287167091612324E-2</v>
      </c>
      <c r="I82" s="6">
        <f t="shared" si="11"/>
        <v>35.353498685749166</v>
      </c>
      <c r="J82" s="7">
        <f t="shared" si="12"/>
        <v>3.7610326962889143E-2</v>
      </c>
      <c r="K82" s="7">
        <f t="shared" si="13"/>
        <v>2.8353681567169376E-2</v>
      </c>
      <c r="L82" s="6">
        <f t="shared" si="14"/>
        <v>4.7811076262958049E-4</v>
      </c>
      <c r="M82" s="6">
        <f t="shared" si="15"/>
        <v>0.21471956942693096</v>
      </c>
      <c r="N82" s="6">
        <f t="shared" si="16"/>
        <v>0.24984849778211871</v>
      </c>
      <c r="O82" s="2">
        <f t="shared" si="17"/>
        <v>19668.125890819359</v>
      </c>
      <c r="P82" s="2">
        <f t="shared" si="18"/>
        <v>15331.874109180641</v>
      </c>
    </row>
    <row r="83" spans="5:16" x14ac:dyDescent="0.3">
      <c r="E83" s="2">
        <v>3.2</v>
      </c>
      <c r="F83" s="6">
        <f t="shared" si="19"/>
        <v>38.934660487292867</v>
      </c>
      <c r="G83" s="6">
        <f t="shared" si="20"/>
        <v>31.381186651350941</v>
      </c>
      <c r="H83" s="7">
        <f t="shared" si="21"/>
        <v>2.8765277854241905E-2</v>
      </c>
      <c r="I83" s="6">
        <f t="shared" ref="I83:I114" si="22">(hla*F83+hga*G83+Kua*DHev*(H83-0.62*A/P))/DEN</f>
        <v>35.58839998049249</v>
      </c>
      <c r="J83" s="7">
        <f t="shared" ref="J83:J114" si="23">0.62*(A+B*I83)/P</f>
        <v>3.8129644272662473E-2</v>
      </c>
      <c r="K83" s="7">
        <f t="shared" ref="K83:K114" si="24">0.62*(A+B*G83)/P</f>
        <v>2.8828381331052436E-2</v>
      </c>
      <c r="L83" s="6">
        <f t="shared" ref="L83:L114" si="25">Kua*dz*(J83-H83)/Gs</f>
        <v>4.802239188933625E-4</v>
      </c>
      <c r="M83" s="6">
        <f t="shared" ref="M83:M114" si="26">(hga*dz*(I83-G83)/Gs/Cu)</f>
        <v>0.21575452969956663</v>
      </c>
      <c r="N83" s="6">
        <f t="shared" ref="N83:N114" si="27">hla*dz*(F83-I83)/$B$3</f>
        <v>0.2509695380100283</v>
      </c>
      <c r="O83" s="2">
        <f t="shared" ref="O83:O114" si="28">O84-Kua*dz*(J84-H84)</f>
        <v>19675.329249602761</v>
      </c>
      <c r="P83" s="2">
        <f t="shared" ref="P83:P114" si="29">Gs+$B$3-O83</f>
        <v>15324.670750397239</v>
      </c>
    </row>
    <row r="84" spans="5:16" x14ac:dyDescent="0.3">
      <c r="E84" s="2">
        <v>3.25</v>
      </c>
      <c r="F84" s="6">
        <f t="shared" si="19"/>
        <v>39.185630025302892</v>
      </c>
      <c r="G84" s="6">
        <f t="shared" si="20"/>
        <v>31.596941181050507</v>
      </c>
      <c r="H84" s="7">
        <f t="shared" si="21"/>
        <v>2.9245501773135268E-2</v>
      </c>
      <c r="I84" s="6">
        <f t="shared" si="22"/>
        <v>35.824355249157342</v>
      </c>
      <c r="J84" s="7">
        <f t="shared" si="23"/>
        <v>3.8651291696887059E-2</v>
      </c>
      <c r="K84" s="7">
        <f t="shared" si="24"/>
        <v>2.9305369174211927E-2</v>
      </c>
      <c r="L84" s="6">
        <f t="shared" si="25"/>
        <v>4.8234820121804061E-4</v>
      </c>
      <c r="M84" s="6">
        <f t="shared" si="26"/>
        <v>0.21679046503111976</v>
      </c>
      <c r="N84" s="6">
        <f t="shared" si="27"/>
        <v>0.2520956082109162</v>
      </c>
      <c r="O84" s="2">
        <f t="shared" si="28"/>
        <v>19682.56447262103</v>
      </c>
      <c r="P84" s="2">
        <f t="shared" si="29"/>
        <v>15317.43552737897</v>
      </c>
    </row>
    <row r="85" spans="5:16" x14ac:dyDescent="0.3">
      <c r="E85" s="2">
        <v>3.3</v>
      </c>
      <c r="F85" s="6">
        <f t="shared" si="19"/>
        <v>39.437725633513807</v>
      </c>
      <c r="G85" s="6">
        <f t="shared" si="20"/>
        <v>31.813731646081628</v>
      </c>
      <c r="H85" s="7">
        <f t="shared" si="21"/>
        <v>2.9727849974353307E-2</v>
      </c>
      <c r="I85" s="6">
        <f t="shared" si="22"/>
        <v>36.061369220798234</v>
      </c>
      <c r="J85" s="7">
        <f t="shared" si="23"/>
        <v>3.917527969050684E-2</v>
      </c>
      <c r="K85" s="7">
        <f t="shared" si="24"/>
        <v>2.9784647252297833E-2</v>
      </c>
      <c r="L85" s="6">
        <f t="shared" si="25"/>
        <v>4.8448357518736065E-4</v>
      </c>
      <c r="M85" s="6">
        <f t="shared" si="26"/>
        <v>0.2178275679341849</v>
      </c>
      <c r="N85" s="6">
        <f t="shared" si="27"/>
        <v>0.25322673095366799</v>
      </c>
      <c r="O85" s="2">
        <f t="shared" si="28"/>
        <v>19689.831726248842</v>
      </c>
      <c r="P85" s="2">
        <f t="shared" si="29"/>
        <v>15310.168273751158</v>
      </c>
    </row>
    <row r="86" spans="5:16" x14ac:dyDescent="0.3">
      <c r="E86" s="2">
        <v>3.35</v>
      </c>
      <c r="F86" s="6">
        <f t="shared" si="19"/>
        <v>39.690952364467478</v>
      </c>
      <c r="G86" s="6">
        <f t="shared" si="20"/>
        <v>32.031559214015815</v>
      </c>
      <c r="H86" s="7">
        <f t="shared" si="21"/>
        <v>3.0212333549540667E-2</v>
      </c>
      <c r="I86" s="6">
        <f t="shared" si="22"/>
        <v>36.299446645688377</v>
      </c>
      <c r="J86" s="7">
        <f t="shared" si="23"/>
        <v>3.9701618755375805E-2</v>
      </c>
      <c r="K86" s="7">
        <f t="shared" si="24"/>
        <v>3.0266218146564963E-2</v>
      </c>
      <c r="L86" s="6">
        <f t="shared" si="25"/>
        <v>4.8663001055564809E-4</v>
      </c>
      <c r="M86" s="6">
        <f t="shared" si="26"/>
        <v>0.21886602213705447</v>
      </c>
      <c r="N86" s="6">
        <f t="shared" si="27"/>
        <v>0.25436292890843254</v>
      </c>
      <c r="O86" s="2">
        <f t="shared" si="28"/>
        <v>19697.131176407176</v>
      </c>
      <c r="P86" s="2">
        <f t="shared" si="29"/>
        <v>15302.868823592824</v>
      </c>
    </row>
    <row r="87" spans="5:16" x14ac:dyDescent="0.3">
      <c r="E87" s="2">
        <v>3.4</v>
      </c>
      <c r="F87" s="6">
        <f t="shared" si="19"/>
        <v>39.945315293375913</v>
      </c>
      <c r="G87" s="6">
        <f t="shared" si="20"/>
        <v>32.250425236152871</v>
      </c>
      <c r="H87" s="7">
        <f t="shared" si="21"/>
        <v>3.0698963560096316E-2</v>
      </c>
      <c r="I87" s="6">
        <f t="shared" si="22"/>
        <v>36.538592295414887</v>
      </c>
      <c r="J87" s="7">
        <f t="shared" si="23"/>
        <v>4.0230319440468544E-2</v>
      </c>
      <c r="K87" s="7">
        <f t="shared" si="24"/>
        <v>3.0750084844452699E-2</v>
      </c>
      <c r="L87" s="6">
        <f t="shared" si="25"/>
        <v>4.8878748104472973E-4</v>
      </c>
      <c r="M87" s="6">
        <f t="shared" si="26"/>
        <v>0.2199060030390777</v>
      </c>
      <c r="N87" s="6">
        <f t="shared" si="27"/>
        <v>0.25550422484707697</v>
      </c>
      <c r="O87" s="2">
        <f t="shared" si="28"/>
        <v>19704.462988622847</v>
      </c>
      <c r="P87" s="2">
        <f t="shared" si="29"/>
        <v>15295.537011377153</v>
      </c>
    </row>
    <row r="88" spans="5:16" x14ac:dyDescent="0.3">
      <c r="E88" s="2">
        <v>3.45</v>
      </c>
      <c r="F88" s="6">
        <f t="shared" si="19"/>
        <v>40.200819518222993</v>
      </c>
      <c r="G88" s="6">
        <f t="shared" si="20"/>
        <v>32.47033123919195</v>
      </c>
      <c r="H88" s="7">
        <f t="shared" si="21"/>
        <v>3.1187751041141045E-2</v>
      </c>
      <c r="I88" s="6">
        <f t="shared" si="22"/>
        <v>36.778810962974404</v>
      </c>
      <c r="J88" s="7">
        <f t="shared" si="23"/>
        <v>4.0761392342091571E-2</v>
      </c>
      <c r="K88" s="7">
        <f t="shared" si="24"/>
        <v>3.1236250721171466E-2</v>
      </c>
      <c r="L88" s="6">
        <f t="shared" si="25"/>
        <v>4.9095596415130909E-4</v>
      </c>
      <c r="M88" s="6">
        <f t="shared" si="26"/>
        <v>0.22094767814268995</v>
      </c>
      <c r="N88" s="6">
        <f t="shared" si="27"/>
        <v>0.2566506416436441</v>
      </c>
      <c r="O88" s="2">
        <f t="shared" si="28"/>
        <v>19711.827328085117</v>
      </c>
      <c r="P88" s="2">
        <f t="shared" si="29"/>
        <v>15288.172671914883</v>
      </c>
    </row>
    <row r="89" spans="5:16" x14ac:dyDescent="0.3">
      <c r="E89" s="2">
        <v>3.5</v>
      </c>
      <c r="F89" s="6">
        <f t="shared" si="19"/>
        <v>40.457470159866638</v>
      </c>
      <c r="G89" s="6">
        <f t="shared" si="20"/>
        <v>32.691278917334643</v>
      </c>
      <c r="H89" s="7">
        <f t="shared" si="21"/>
        <v>3.1678707005292357E-2</v>
      </c>
      <c r="I89" s="6">
        <f t="shared" si="22"/>
        <v>37.020107462869198</v>
      </c>
      <c r="J89" s="7">
        <f t="shared" si="23"/>
        <v>4.1294848104095824E-2</v>
      </c>
      <c r="K89" s="7">
        <f t="shared" si="24"/>
        <v>3.1724719522244295E-2</v>
      </c>
      <c r="L89" s="6">
        <f t="shared" si="25"/>
        <v>4.931354409642804E-4</v>
      </c>
      <c r="M89" s="6">
        <f t="shared" si="26"/>
        <v>0.22199120746331052</v>
      </c>
      <c r="N89" s="6">
        <f t="shared" si="27"/>
        <v>0.25780220227480793</v>
      </c>
      <c r="O89" s="2">
        <f t="shared" si="28"/>
        <v>19719.224359699583</v>
      </c>
      <c r="P89" s="2">
        <f t="shared" si="29"/>
        <v>15280.775640300417</v>
      </c>
    </row>
    <row r="90" spans="5:16" x14ac:dyDescent="0.3">
      <c r="E90" s="2">
        <v>3.55</v>
      </c>
      <c r="F90" s="6">
        <f t="shared" si="19"/>
        <v>40.715272362141448</v>
      </c>
      <c r="G90" s="6">
        <f t="shared" si="20"/>
        <v>32.913270124797954</v>
      </c>
      <c r="H90" s="7">
        <f t="shared" si="21"/>
        <v>3.2171842446256635E-2</v>
      </c>
      <c r="I90" s="6">
        <f t="shared" si="22"/>
        <v>37.262486631203622</v>
      </c>
      <c r="J90" s="7">
        <f t="shared" si="23"/>
        <v>4.1830697418089903E-2</v>
      </c>
      <c r="K90" s="7">
        <f t="shared" si="24"/>
        <v>3.2215495346954628E-2</v>
      </c>
      <c r="L90" s="6">
        <f t="shared" si="25"/>
        <v>4.9532589599144967E-4</v>
      </c>
      <c r="M90" s="6">
        <f t="shared" si="26"/>
        <v>0.22303674391823936</v>
      </c>
      <c r="N90" s="6">
        <f t="shared" si="27"/>
        <v>0.25895892982033697</v>
      </c>
      <c r="O90" s="2">
        <f t="shared" si="28"/>
        <v>19726.654248139454</v>
      </c>
      <c r="P90" s="2">
        <f t="shared" si="29"/>
        <v>15273.345751860546</v>
      </c>
    </row>
    <row r="91" spans="5:16" x14ac:dyDescent="0.3">
      <c r="E91" s="2">
        <v>3.6</v>
      </c>
      <c r="F91" s="6">
        <f t="shared" si="19"/>
        <v>40.974231291961786</v>
      </c>
      <c r="G91" s="6">
        <f t="shared" si="20"/>
        <v>33.13630686871619</v>
      </c>
      <c r="H91" s="7">
        <f t="shared" si="21"/>
        <v>3.2667168342248087E-2</v>
      </c>
      <c r="I91" s="6">
        <f t="shared" si="22"/>
        <v>37.505953325781029</v>
      </c>
      <c r="J91" s="7">
        <f t="shared" si="23"/>
        <v>4.2368951023654323E-2</v>
      </c>
      <c r="K91" s="7">
        <f t="shared" si="24"/>
        <v>3.2708582632653874E-2</v>
      </c>
      <c r="L91" s="6">
        <f t="shared" si="25"/>
        <v>4.9752731699519159E-4</v>
      </c>
      <c r="M91" s="6">
        <f t="shared" si="26"/>
        <v>0.22408443369563277</v>
      </c>
      <c r="N91" s="6">
        <f t="shared" si="27"/>
        <v>0.26012084746355679</v>
      </c>
      <c r="O91" s="2">
        <f t="shared" si="28"/>
        <v>19734.117157894383</v>
      </c>
      <c r="P91" s="2">
        <f t="shared" si="29"/>
        <v>15265.882842105617</v>
      </c>
    </row>
    <row r="92" spans="5:16" x14ac:dyDescent="0.3">
      <c r="E92" s="2">
        <v>3.65</v>
      </c>
      <c r="F92" s="6">
        <f>F91+N91</f>
        <v>41.23435213942534</v>
      </c>
      <c r="G92" s="6">
        <f>G91+M91</f>
        <v>33.36039130241182</v>
      </c>
      <c r="H92" s="7">
        <f>H91+L91</f>
        <v>3.3164695659243279E-2</v>
      </c>
      <c r="I92" s="6">
        <f t="shared" si="22"/>
        <v>37.750512426201176</v>
      </c>
      <c r="J92" s="7">
        <f t="shared" si="23"/>
        <v>4.2909619708556855E-2</v>
      </c>
      <c r="K92" s="7">
        <f t="shared" si="24"/>
        <v>3.3203986139884657E-2</v>
      </c>
      <c r="L92" s="6">
        <f t="shared" si="25"/>
        <v>4.9973969483659366E-4</v>
      </c>
      <c r="M92" s="6">
        <f t="shared" si="26"/>
        <v>0.22513441660458236</v>
      </c>
      <c r="N92" s="6">
        <f t="shared" si="27"/>
        <v>0.26128797849181229</v>
      </c>
      <c r="O92" s="2">
        <f t="shared" si="28"/>
        <v>19741.613253316933</v>
      </c>
      <c r="P92" s="2">
        <f t="shared" si="29"/>
        <v>15258.386746683067</v>
      </c>
    </row>
    <row r="93" spans="5:16" x14ac:dyDescent="0.3">
      <c r="E93" s="2">
        <v>3.7</v>
      </c>
      <c r="F93" s="6">
        <f t="shared" ref="F93:F109" si="30">F92+N92</f>
        <v>41.495640117917155</v>
      </c>
      <c r="G93" s="6">
        <f t="shared" ref="G93:G109" si="31">G92+M92</f>
        <v>33.585525719016402</v>
      </c>
      <c r="H93" s="7">
        <f t="shared" ref="H93:H109" si="32">H92+L92</f>
        <v>3.3664435354079876E-2</v>
      </c>
      <c r="I93" s="6">
        <f t="shared" si="22"/>
        <v>37.996168833958002</v>
      </c>
      <c r="J93" s="7">
        <f t="shared" si="23"/>
        <v>4.3452714308968722E-2</v>
      </c>
      <c r="K93" s="7">
        <f t="shared" si="24"/>
        <v>3.3701710938278104E-2</v>
      </c>
      <c r="L93" s="6">
        <f t="shared" si="25"/>
        <v>5.0196302332763314E-4</v>
      </c>
      <c r="M93" s="6">
        <f t="shared" si="26"/>
        <v>0.22618682640726148</v>
      </c>
      <c r="N93" s="6">
        <f t="shared" si="27"/>
        <v>0.26246034629693643</v>
      </c>
      <c r="O93" s="2">
        <f t="shared" si="28"/>
        <v>19749.142698666848</v>
      </c>
      <c r="P93" s="2">
        <f t="shared" si="29"/>
        <v>15250.857301333152</v>
      </c>
    </row>
    <row r="94" spans="5:16" x14ac:dyDescent="0.3">
      <c r="E94" s="2">
        <v>3.75</v>
      </c>
      <c r="F94" s="6">
        <f t="shared" si="30"/>
        <v>41.758100464214088</v>
      </c>
      <c r="G94" s="6">
        <f t="shared" si="31"/>
        <v>33.811712545423667</v>
      </c>
      <c r="H94" s="7">
        <f t="shared" si="32"/>
        <v>3.4166398377407509E-2</v>
      </c>
      <c r="I94" s="6">
        <f t="shared" si="22"/>
        <v>38.242927472537836</v>
      </c>
      <c r="J94" s="7">
        <f t="shared" si="23"/>
        <v>4.3998245709681673E-2</v>
      </c>
      <c r="K94" s="7">
        <f t="shared" si="24"/>
        <v>3.4201762393185328E-2</v>
      </c>
      <c r="L94" s="6">
        <f t="shared" si="25"/>
        <v>5.0419729909098284E-4</v>
      </c>
      <c r="M94" s="6">
        <f t="shared" si="26"/>
        <v>0.22724179113405996</v>
      </c>
      <c r="N94" s="6">
        <f t="shared" si="27"/>
        <v>0.2636379743757189</v>
      </c>
      <c r="O94" s="2">
        <f t="shared" si="28"/>
        <v>19756.705658153212</v>
      </c>
      <c r="P94" s="2">
        <f t="shared" si="29"/>
        <v>15243.294341846788</v>
      </c>
    </row>
    <row r="95" spans="5:16" x14ac:dyDescent="0.3">
      <c r="E95" s="2">
        <v>3.8</v>
      </c>
      <c r="F95" s="6">
        <f t="shared" si="30"/>
        <v>42.021738438589807</v>
      </c>
      <c r="G95" s="6">
        <f t="shared" si="31"/>
        <v>34.03895433655773</v>
      </c>
      <c r="H95" s="7">
        <f t="shared" si="32"/>
        <v>3.4670595676498495E-2</v>
      </c>
      <c r="I95" s="6">
        <f t="shared" si="22"/>
        <v>38.490793287518116</v>
      </c>
      <c r="J95" s="7">
        <f t="shared" si="23"/>
        <v>4.4546224844326229E-2</v>
      </c>
      <c r="K95" s="7">
        <f t="shared" si="24"/>
        <v>3.4704146153005648E-2</v>
      </c>
      <c r="L95" s="6">
        <f t="shared" si="25"/>
        <v>5.0644252142706338E-4</v>
      </c>
      <c r="M95" s="6">
        <f t="shared" si="26"/>
        <v>0.22829943338258393</v>
      </c>
      <c r="N95" s="6">
        <f t="shared" si="27"/>
        <v>0.26482088633037681</v>
      </c>
      <c r="O95" s="2">
        <f t="shared" si="28"/>
        <v>19764.302295974619</v>
      </c>
      <c r="P95" s="2">
        <f t="shared" si="29"/>
        <v>15235.697704025381</v>
      </c>
    </row>
    <row r="96" spans="5:16" x14ac:dyDescent="0.3">
      <c r="E96" s="2">
        <v>3.85</v>
      </c>
      <c r="F96" s="6">
        <f t="shared" si="30"/>
        <v>42.286559324920184</v>
      </c>
      <c r="G96" s="6">
        <f t="shared" si="31"/>
        <v>34.267253769940311</v>
      </c>
      <c r="H96" s="7">
        <f t="shared" si="32"/>
        <v>3.5177038197925559E-2</v>
      </c>
      <c r="I96" s="6">
        <f t="shared" si="22"/>
        <v>38.7397712466665</v>
      </c>
      <c r="J96" s="7">
        <f t="shared" si="23"/>
        <v>4.5096662695590865E-2</v>
      </c>
      <c r="K96" s="7">
        <f t="shared" si="24"/>
        <v>3.5208868137175935E-2</v>
      </c>
      <c r="L96" s="6">
        <f t="shared" si="25"/>
        <v>5.0869869218796453E-4</v>
      </c>
      <c r="M96" s="6">
        <f t="shared" si="26"/>
        <v>0.22935987060134302</v>
      </c>
      <c r="N96" s="6">
        <f t="shared" si="27"/>
        <v>0.26600910586902626</v>
      </c>
      <c r="O96" s="2">
        <f t="shared" si="28"/>
        <v>19771.93277635744</v>
      </c>
      <c r="P96" s="2">
        <f t="shared" si="29"/>
        <v>15228.06722364256</v>
      </c>
    </row>
    <row r="97" spans="5:16" x14ac:dyDescent="0.3">
      <c r="E97" s="2">
        <v>3.9</v>
      </c>
      <c r="F97" s="6">
        <f t="shared" si="30"/>
        <v>42.552568430789208</v>
      </c>
      <c r="G97" s="6">
        <f t="shared" si="31"/>
        <v>34.496613640541653</v>
      </c>
      <c r="H97" s="7">
        <f t="shared" si="32"/>
        <v>3.568573689011352E-2</v>
      </c>
      <c r="I97" s="6">
        <f t="shared" si="22"/>
        <v>38.989866340040415</v>
      </c>
      <c r="J97" s="7">
        <f t="shared" si="23"/>
        <v>4.5649570295441984E-2</v>
      </c>
      <c r="K97" s="7">
        <f t="shared" si="24"/>
        <v>3.5715934524786962E-2</v>
      </c>
      <c r="L97" s="6">
        <f t="shared" si="25"/>
        <v>5.1096581565786997E-4</v>
      </c>
      <c r="M97" s="6">
        <f t="shared" si="26"/>
        <v>0.2304232153589108</v>
      </c>
      <c r="N97" s="6">
        <f t="shared" si="27"/>
        <v>0.26720265680615951</v>
      </c>
      <c r="O97" s="2">
        <f t="shared" si="28"/>
        <v>19779.59726359231</v>
      </c>
      <c r="P97" s="2">
        <f t="shared" si="29"/>
        <v>15220.40273640769</v>
      </c>
    </row>
    <row r="98" spans="5:16" x14ac:dyDescent="0.3">
      <c r="E98" s="2">
        <v>3.95</v>
      </c>
      <c r="F98" s="6">
        <f t="shared" si="30"/>
        <v>42.81977108759537</v>
      </c>
      <c r="G98" s="6">
        <f t="shared" si="31"/>
        <v>34.727036855900565</v>
      </c>
      <c r="H98" s="7">
        <f t="shared" si="32"/>
        <v>3.619670270577139E-2</v>
      </c>
      <c r="I98" s="6">
        <f t="shared" si="22"/>
        <v>39.241083580087043</v>
      </c>
      <c r="J98" s="7">
        <f t="shared" si="23"/>
        <v>4.6204958725345066E-2</v>
      </c>
      <c r="K98" s="7">
        <f t="shared" si="24"/>
        <v>3.622535174379491E-2</v>
      </c>
      <c r="L98" s="6">
        <f t="shared" si="25"/>
        <v>5.1324389843967577E-4</v>
      </c>
      <c r="M98" s="6">
        <f t="shared" si="26"/>
        <v>0.23148957559930655</v>
      </c>
      <c r="N98" s="6">
        <f t="shared" si="27"/>
        <v>0.26840156306312457</v>
      </c>
      <c r="O98" s="2">
        <f t="shared" si="28"/>
        <v>19787.295922068904</v>
      </c>
      <c r="P98" s="2">
        <f t="shared" si="29"/>
        <v>15212.704077931096</v>
      </c>
    </row>
    <row r="99" spans="5:16" x14ac:dyDescent="0.3">
      <c r="E99" s="2">
        <v>4</v>
      </c>
      <c r="F99" s="6">
        <f t="shared" si="30"/>
        <v>43.088172650658493</v>
      </c>
      <c r="G99" s="6">
        <f t="shared" si="31"/>
        <v>34.95852643149987</v>
      </c>
      <c r="H99" s="7">
        <f t="shared" si="32"/>
        <v>3.6709946604211063E-2</v>
      </c>
      <c r="I99" s="6">
        <f t="shared" si="22"/>
        <v>39.493428001743901</v>
      </c>
      <c r="J99" s="7">
        <f t="shared" si="23"/>
        <v>4.676283911648698E-2</v>
      </c>
      <c r="K99" s="7">
        <f t="shared" si="24"/>
        <v>3.6737126460797478E-2</v>
      </c>
      <c r="L99" s="6">
        <f t="shared" si="25"/>
        <v>5.1553294934748297E-4</v>
      </c>
      <c r="M99" s="6">
        <f t="shared" si="26"/>
        <v>0.23255905488430928</v>
      </c>
      <c r="N99" s="6">
        <f t="shared" si="27"/>
        <v>0.26960584866859438</v>
      </c>
      <c r="O99" s="2">
        <f t="shared" si="28"/>
        <v>19795.028916309118</v>
      </c>
      <c r="P99" s="2">
        <f t="shared" si="29"/>
        <v>15204.971083690882</v>
      </c>
    </row>
    <row r="100" spans="5:16" x14ac:dyDescent="0.3">
      <c r="E100" s="2">
        <v>4.05</v>
      </c>
      <c r="F100" s="6">
        <f t="shared" si="30"/>
        <v>43.35777849932709</v>
      </c>
      <c r="G100" s="6">
        <f t="shared" si="31"/>
        <v>35.191085486384182</v>
      </c>
      <c r="H100" s="7">
        <f t="shared" si="32"/>
        <v>3.7225479553558545E-2</v>
      </c>
      <c r="I100" s="6">
        <f t="shared" si="22"/>
        <v>39.746904662539571</v>
      </c>
      <c r="J100" s="7">
        <f t="shared" si="23"/>
        <v>4.7323222649998664E-2</v>
      </c>
      <c r="K100" s="7">
        <f t="shared" si="24"/>
        <v>3.7251265571345664E-2</v>
      </c>
      <c r="L100" s="6">
        <f t="shared" si="25"/>
        <v>5.1783297930462152E-4</v>
      </c>
      <c r="M100" s="6">
        <f t="shared" si="26"/>
        <v>0.23363175262335323</v>
      </c>
      <c r="N100" s="6">
        <f t="shared" si="27"/>
        <v>0.27081553775906392</v>
      </c>
      <c r="O100" s="2">
        <f t="shared" si="28"/>
        <v>19802.796410998686</v>
      </c>
      <c r="P100" s="2">
        <f t="shared" si="29"/>
        <v>15197.203589001314</v>
      </c>
    </row>
    <row r="101" spans="5:16" x14ac:dyDescent="0.3">
      <c r="E101" s="2">
        <v>4.0999999999999996</v>
      </c>
      <c r="F101" s="6">
        <f t="shared" si="30"/>
        <v>43.628594037086152</v>
      </c>
      <c r="G101" s="6">
        <f t="shared" si="31"/>
        <v>35.424717239007535</v>
      </c>
      <c r="H101" s="7">
        <f t="shared" si="32"/>
        <v>3.7743312532863164E-2</v>
      </c>
      <c r="I101" s="6">
        <f t="shared" si="22"/>
        <v>40.001518642695217</v>
      </c>
      <c r="J101" s="7">
        <f t="shared" si="23"/>
        <v>4.7886120557179612E-2</v>
      </c>
      <c r="K101" s="7">
        <f t="shared" si="24"/>
        <v>3.7767776190763762E-2</v>
      </c>
      <c r="L101" s="6">
        <f t="shared" si="25"/>
        <v>5.2014400124699735E-4</v>
      </c>
      <c r="M101" s="6">
        <f t="shared" si="26"/>
        <v>0.23470776429167597</v>
      </c>
      <c r="N101" s="6">
        <f t="shared" si="27"/>
        <v>0.27203065457932019</v>
      </c>
      <c r="O101" s="2">
        <f t="shared" si="28"/>
        <v>19810.598571017392</v>
      </c>
      <c r="P101" s="2">
        <f t="shared" si="29"/>
        <v>15189.401428982608</v>
      </c>
    </row>
    <row r="102" spans="5:16" x14ac:dyDescent="0.3">
      <c r="E102" s="2">
        <v>4.1500000000000004</v>
      </c>
      <c r="F102" s="6">
        <f t="shared" si="30"/>
        <v>43.90062469166547</v>
      </c>
      <c r="G102" s="6">
        <f t="shared" si="31"/>
        <v>35.659425003299212</v>
      </c>
      <c r="H102" s="7">
        <f t="shared" si="32"/>
        <v>3.826345653411016E-2</v>
      </c>
      <c r="I102" s="6">
        <f t="shared" si="22"/>
        <v>40.257275045226322</v>
      </c>
      <c r="J102" s="7">
        <f t="shared" si="23"/>
        <v>4.8451544119722717E-2</v>
      </c>
      <c r="K102" s="7">
        <f t="shared" si="24"/>
        <v>3.8286665645451759E-2</v>
      </c>
      <c r="L102" s="6">
        <f t="shared" si="25"/>
        <v>5.224660300314132E-4</v>
      </c>
      <c r="M102" s="6">
        <f t="shared" si="26"/>
        <v>0.23578718163728768</v>
      </c>
      <c r="N102" s="6">
        <f t="shared" si="27"/>
        <v>0.27325122348293612</v>
      </c>
      <c r="O102" s="2">
        <f t="shared" si="28"/>
        <v>19818.435561467864</v>
      </c>
      <c r="P102" s="2">
        <f t="shared" si="29"/>
        <v>15181.564438532136</v>
      </c>
    </row>
    <row r="103" spans="5:16" x14ac:dyDescent="0.3">
      <c r="E103" s="2">
        <v>4.2</v>
      </c>
      <c r="F103" s="6">
        <f t="shared" si="30"/>
        <v>44.173875915148408</v>
      </c>
      <c r="G103" s="6">
        <f t="shared" si="31"/>
        <v>35.895212184936497</v>
      </c>
      <c r="H103" s="7">
        <f t="shared" si="32"/>
        <v>3.8785922564141574E-2</v>
      </c>
      <c r="I103" s="6">
        <f t="shared" si="22"/>
        <v>40.514178996045004</v>
      </c>
      <c r="J103" s="7">
        <f t="shared" si="23"/>
        <v>4.9019504669940546E-2</v>
      </c>
      <c r="K103" s="7">
        <f t="shared" si="24"/>
        <v>3.8807941464645133E-2</v>
      </c>
      <c r="L103" s="6">
        <f t="shared" si="25"/>
        <v>5.2479908234866527E-4</v>
      </c>
      <c r="M103" s="6">
        <f t="shared" si="26"/>
        <v>0.23687009287735933</v>
      </c>
      <c r="N103" s="6">
        <f t="shared" si="27"/>
        <v>0.27447726893275526</v>
      </c>
      <c r="O103" s="2">
        <f t="shared" si="28"/>
        <v>19826.307547703094</v>
      </c>
      <c r="P103" s="2">
        <f t="shared" si="29"/>
        <v>15173.692452296906</v>
      </c>
    </row>
    <row r="104" spans="5:16" x14ac:dyDescent="0.3">
      <c r="E104" s="2">
        <v>4.25</v>
      </c>
      <c r="F104" s="6">
        <f t="shared" si="30"/>
        <v>44.448353184081164</v>
      </c>
      <c r="G104" s="6">
        <f t="shared" si="31"/>
        <v>36.132082277813858</v>
      </c>
      <c r="H104" s="7">
        <f t="shared" si="32"/>
        <v>3.9310721646490236E-2</v>
      </c>
      <c r="I104" s="6">
        <f t="shared" si="22"/>
        <v>40.772235644062732</v>
      </c>
      <c r="J104" s="7">
        <f t="shared" si="23"/>
        <v>4.9590013590992382E-2</v>
      </c>
      <c r="K104" s="7">
        <f t="shared" si="24"/>
        <v>3.9331611372609002E-2</v>
      </c>
      <c r="L104" s="6">
        <f t="shared" si="25"/>
        <v>5.2714317664113574E-4</v>
      </c>
      <c r="M104" s="6">
        <f t="shared" si="26"/>
        <v>0.23795658288455768</v>
      </c>
      <c r="N104" s="6">
        <f t="shared" si="27"/>
        <v>0.27570881550138232</v>
      </c>
      <c r="O104" s="2">
        <f t="shared" si="28"/>
        <v>19834.214695352712</v>
      </c>
      <c r="P104" s="2">
        <f t="shared" si="29"/>
        <v>15165.785304647288</v>
      </c>
    </row>
    <row r="105" spans="5:16" x14ac:dyDescent="0.3">
      <c r="E105" s="2">
        <v>4.3</v>
      </c>
      <c r="F105" s="6">
        <f t="shared" si="30"/>
        <v>44.724061999582545</v>
      </c>
      <c r="G105" s="6">
        <f t="shared" si="31"/>
        <v>36.370038860698415</v>
      </c>
      <c r="H105" s="7">
        <f t="shared" si="32"/>
        <v>3.9837864823131369E-2</v>
      </c>
      <c r="I105" s="6">
        <f t="shared" si="22"/>
        <v>41.031450161293499</v>
      </c>
      <c r="J105" s="7">
        <f t="shared" si="23"/>
        <v>5.0163082317112286E-2</v>
      </c>
      <c r="K105" s="7">
        <f t="shared" si="24"/>
        <v>3.9857683281244047E-2</v>
      </c>
      <c r="L105" s="6">
        <f t="shared" si="25"/>
        <v>5.2949833302466242E-4</v>
      </c>
      <c r="M105" s="6">
        <f t="shared" si="26"/>
        <v>0.23904673336385049</v>
      </c>
      <c r="N105" s="6">
        <f t="shared" si="27"/>
        <v>0.27694588787167851</v>
      </c>
      <c r="O105" s="2">
        <f t="shared" si="28"/>
        <v>19842.15717034808</v>
      </c>
      <c r="P105" s="2">
        <f t="shared" si="29"/>
        <v>15157.84282965192</v>
      </c>
    </row>
    <row r="106" spans="5:16" x14ac:dyDescent="0.3">
      <c r="E106" s="2">
        <v>4.3499999999999996</v>
      </c>
      <c r="F106" s="6">
        <f t="shared" si="30"/>
        <v>45.001007887454222</v>
      </c>
      <c r="G106" s="6">
        <f t="shared" si="31"/>
        <v>36.609085594062265</v>
      </c>
      <c r="H106" s="7">
        <f t="shared" si="32"/>
        <v>4.0367363156156029E-2</v>
      </c>
      <c r="I106" s="6">
        <f t="shared" si="22"/>
        <v>41.291827742957523</v>
      </c>
      <c r="J106" s="7">
        <f t="shared" si="23"/>
        <v>5.0738722333838457E-2</v>
      </c>
      <c r="K106" s="7">
        <f t="shared" si="24"/>
        <v>4.038616528308344E-2</v>
      </c>
      <c r="L106" s="6">
        <f t="shared" si="25"/>
        <v>5.3186457321448353E-4</v>
      </c>
      <c r="M106" s="6">
        <f t="shared" si="26"/>
        <v>0.24014062302026964</v>
      </c>
      <c r="N106" s="6">
        <f t="shared" si="27"/>
        <v>0.27818851083725243</v>
      </c>
      <c r="O106" s="2">
        <f t="shared" si="28"/>
        <v>19850.135138946298</v>
      </c>
      <c r="P106" s="2">
        <f t="shared" si="29"/>
        <v>15149.864861053702</v>
      </c>
    </row>
    <row r="107" spans="5:16" x14ac:dyDescent="0.3">
      <c r="E107" s="2">
        <v>4.4000000000000004</v>
      </c>
      <c r="F107" s="6">
        <f t="shared" si="30"/>
        <v>45.279196398291475</v>
      </c>
      <c r="G107" s="6">
        <f t="shared" si="31"/>
        <v>36.849226217082531</v>
      </c>
      <c r="H107" s="7">
        <f t="shared" si="32"/>
        <v>4.0899227729370512E-2</v>
      </c>
      <c r="I107" s="6">
        <f t="shared" si="22"/>
        <v>41.55337360758535</v>
      </c>
      <c r="J107" s="7">
        <f t="shared" si="23"/>
        <v>5.1316945178243305E-2</v>
      </c>
      <c r="K107" s="7">
        <f t="shared" si="24"/>
        <v>4.0917065644660612E-2</v>
      </c>
      <c r="L107" s="6">
        <f t="shared" si="25"/>
        <v>5.3424192045501502E-4</v>
      </c>
      <c r="M107" s="6">
        <f t="shared" si="26"/>
        <v>0.24123832771809323</v>
      </c>
      <c r="N107" s="6">
        <f t="shared" si="27"/>
        <v>0.27943670930295939</v>
      </c>
      <c r="O107" s="2">
        <f t="shared" si="28"/>
        <v>19858.148767753122</v>
      </c>
      <c r="P107" s="2">
        <f t="shared" si="29"/>
        <v>15141.851232246878</v>
      </c>
    </row>
    <row r="108" spans="5:16" x14ac:dyDescent="0.3">
      <c r="E108" s="2">
        <v>4.45</v>
      </c>
      <c r="F108" s="6">
        <f t="shared" si="30"/>
        <v>45.558633107594432</v>
      </c>
      <c r="G108" s="6">
        <f t="shared" si="31"/>
        <v>37.090464544800625</v>
      </c>
      <c r="H108" s="7">
        <f t="shared" si="32"/>
        <v>4.1433469649825527E-2</v>
      </c>
      <c r="I108" s="6">
        <f t="shared" si="22"/>
        <v>41.816092997122453</v>
      </c>
      <c r="J108" s="7">
        <f t="shared" si="23"/>
        <v>5.1897762439164663E-2</v>
      </c>
      <c r="K108" s="7">
        <f t="shared" si="24"/>
        <v>4.1450392800228962E-2</v>
      </c>
      <c r="L108" s="6">
        <f t="shared" si="25"/>
        <v>5.3663039945328909E-4</v>
      </c>
      <c r="M108" s="6">
        <f t="shared" si="26"/>
        <v>0.24233992063188864</v>
      </c>
      <c r="N108" s="6">
        <f t="shared" si="27"/>
        <v>0.28069050828539832</v>
      </c>
      <c r="O108" s="2">
        <f t="shared" si="28"/>
        <v>19866.198223744923</v>
      </c>
      <c r="P108" s="2">
        <f t="shared" si="29"/>
        <v>15133.801776255077</v>
      </c>
    </row>
    <row r="109" spans="5:16" x14ac:dyDescent="0.3">
      <c r="E109" s="2">
        <v>4.5</v>
      </c>
      <c r="F109" s="6">
        <f t="shared" si="30"/>
        <v>45.839323615879827</v>
      </c>
      <c r="G109" s="6">
        <f t="shared" si="31"/>
        <v>37.332804465432517</v>
      </c>
      <c r="H109" s="7">
        <f t="shared" si="32"/>
        <v>4.1970100049278813E-2</v>
      </c>
      <c r="I109" s="6">
        <f t="shared" si="22"/>
        <v>42.079991177034266</v>
      </c>
      <c r="J109" s="7">
        <f t="shared" si="23"/>
        <v>5.2481185757438119E-2</v>
      </c>
      <c r="K109" s="7">
        <f t="shared" si="24"/>
        <v>4.1986155345815415E-2</v>
      </c>
      <c r="L109" s="6">
        <f t="shared" si="25"/>
        <v>5.390300363158618E-4</v>
      </c>
      <c r="M109" s="6">
        <f t="shared" si="26"/>
        <v>0.24344547238983333</v>
      </c>
      <c r="N109" s="6">
        <f t="shared" si="27"/>
        <v>0.28194993291341713</v>
      </c>
      <c r="O109" s="2">
        <f t="shared" si="28"/>
        <v>19874.283674289662</v>
      </c>
      <c r="P109" s="2">
        <f t="shared" si="29"/>
        <v>15125.716325710338</v>
      </c>
    </row>
    <row r="110" spans="5:16" x14ac:dyDescent="0.3">
      <c r="E110" s="2">
        <v>4.55</v>
      </c>
      <c r="F110" s="6">
        <f>F109+N109</f>
        <v>46.121273548793248</v>
      </c>
      <c r="G110" s="6">
        <f>G109+M109</f>
        <v>37.576249937822347</v>
      </c>
      <c r="H110" s="7">
        <f>H109+L109</f>
        <v>4.2509130085594676E-2</v>
      </c>
      <c r="I110" s="6">
        <f t="shared" si="22"/>
        <v>42.345073436411759</v>
      </c>
      <c r="J110" s="7">
        <f t="shared" si="23"/>
        <v>5.3067226826130319E-2</v>
      </c>
      <c r="K110" s="7">
        <f t="shared" si="24"/>
        <v>4.2524362033590925E-2</v>
      </c>
      <c r="L110" s="6">
        <f t="shared" si="25"/>
        <v>5.4144085848900733E-4</v>
      </c>
      <c r="M110" s="6">
        <f t="shared" si="26"/>
        <v>0.24455505120971346</v>
      </c>
      <c r="N110" s="6">
        <f t="shared" si="27"/>
        <v>0.28321500842861164</v>
      </c>
      <c r="O110" s="2">
        <f t="shared" si="28"/>
        <v>19882.405287166996</v>
      </c>
      <c r="P110" s="2">
        <f t="shared" si="29"/>
        <v>15117.594712833004</v>
      </c>
    </row>
    <row r="111" spans="5:16" x14ac:dyDescent="0.3">
      <c r="E111" s="2">
        <v>4.5999999999999996</v>
      </c>
      <c r="F111" s="6">
        <f t="shared" ref="F111:F124" si="33">F110+N110</f>
        <v>46.40448855722186</v>
      </c>
      <c r="G111" s="6">
        <f t="shared" ref="G111:G124" si="34">G110+M110</f>
        <v>37.820804989032062</v>
      </c>
      <c r="H111" s="7">
        <f t="shared" ref="H111:H124" si="35">H110+L110</f>
        <v>4.3050570944083683E-2</v>
      </c>
      <c r="I111" s="6">
        <f t="shared" si="22"/>
        <v>42.611345088077385</v>
      </c>
      <c r="J111" s="7">
        <f t="shared" si="23"/>
        <v>5.3655897390773193E-2</v>
      </c>
      <c r="K111" s="7">
        <f t="shared" si="24"/>
        <v>4.3065021766541672E-2</v>
      </c>
      <c r="L111" s="6">
        <f t="shared" si="25"/>
        <v>5.4386289470202611E-4</v>
      </c>
      <c r="M111" s="6">
        <f t="shared" si="26"/>
        <v>0.24566872302796527</v>
      </c>
      <c r="N111" s="6">
        <f t="shared" si="27"/>
        <v>0.2844857601858356</v>
      </c>
      <c r="O111" s="2">
        <f t="shared" si="28"/>
        <v>19890.563230587526</v>
      </c>
      <c r="P111" s="2">
        <f t="shared" si="29"/>
        <v>15109.436769412474</v>
      </c>
    </row>
    <row r="112" spans="5:16" x14ac:dyDescent="0.3">
      <c r="E112" s="2">
        <v>4.6500000000000004</v>
      </c>
      <c r="F112" s="6">
        <f t="shared" si="33"/>
        <v>46.688974317407698</v>
      </c>
      <c r="G112" s="6">
        <f t="shared" si="34"/>
        <v>38.066473712060031</v>
      </c>
      <c r="H112" s="7">
        <f t="shared" si="35"/>
        <v>4.3594433838785709E-2</v>
      </c>
      <c r="I112" s="6">
        <f t="shared" si="22"/>
        <v>42.878811468691651</v>
      </c>
      <c r="J112" s="7">
        <f t="shared" si="23"/>
        <v>5.4247209249599623E-2</v>
      </c>
      <c r="K112" s="7">
        <f t="shared" si="24"/>
        <v>4.3608143593425346E-2</v>
      </c>
      <c r="L112" s="6">
        <f t="shared" si="25"/>
        <v>5.4629617491353411E-4</v>
      </c>
      <c r="M112" s="6">
        <f t="shared" si="26"/>
        <v>0.24678655162213442</v>
      </c>
      <c r="N112" s="6">
        <f t="shared" si="27"/>
        <v>0.28576221365370352</v>
      </c>
      <c r="O112" s="2">
        <f t="shared" si="28"/>
        <v>19898.757673211228</v>
      </c>
      <c r="P112" s="2">
        <f t="shared" si="29"/>
        <v>15101.242326788772</v>
      </c>
    </row>
    <row r="113" spans="5:16" x14ac:dyDescent="0.3">
      <c r="E113" s="2">
        <v>4.7</v>
      </c>
      <c r="F113" s="6">
        <f t="shared" si="33"/>
        <v>46.974736531061403</v>
      </c>
      <c r="G113" s="6">
        <f t="shared" si="34"/>
        <v>38.313260263682167</v>
      </c>
      <c r="H113" s="7">
        <f t="shared" si="35"/>
        <v>4.4140730013699246E-2</v>
      </c>
      <c r="I113" s="6">
        <f t="shared" si="22"/>
        <v>43.14747793885995</v>
      </c>
      <c r="J113" s="7">
        <f t="shared" si="23"/>
        <v>5.4841174253779587E-2</v>
      </c>
      <c r="K113" s="7">
        <f t="shared" si="24"/>
        <v>4.4153736703998393E-2</v>
      </c>
      <c r="L113" s="6">
        <f t="shared" si="25"/>
        <v>5.4874073026053025E-4</v>
      </c>
      <c r="M113" s="6">
        <f t="shared" si="26"/>
        <v>0.24790859872706578</v>
      </c>
      <c r="N113" s="6">
        <f t="shared" si="27"/>
        <v>0.28704439441510893</v>
      </c>
      <c r="O113" s="2">
        <f t="shared" si="28"/>
        <v>19906.988784165136</v>
      </c>
      <c r="P113" s="2">
        <f t="shared" si="29"/>
        <v>15093.011215834864</v>
      </c>
    </row>
    <row r="114" spans="5:16" x14ac:dyDescent="0.3">
      <c r="E114" s="2">
        <v>4.75</v>
      </c>
      <c r="F114" s="6">
        <f t="shared" si="33"/>
        <v>47.261780925476515</v>
      </c>
      <c r="G114" s="6">
        <f t="shared" si="34"/>
        <v>38.561168862409232</v>
      </c>
      <c r="H114" s="7">
        <f t="shared" si="35"/>
        <v>4.4689470743959778E-2</v>
      </c>
      <c r="I114" s="6">
        <f t="shared" si="22"/>
        <v>43.417349883240121</v>
      </c>
      <c r="J114" s="7">
        <f t="shared" si="23"/>
        <v>5.5437804307657962E-2</v>
      </c>
      <c r="K114" s="7">
        <f t="shared" si="24"/>
        <v>4.4701810424499985E-2</v>
      </c>
      <c r="L114" s="6">
        <f t="shared" si="25"/>
        <v>5.5119659301016333E-4</v>
      </c>
      <c r="M114" s="6">
        <f t="shared" si="26"/>
        <v>0.24903492414517375</v>
      </c>
      <c r="N114" s="6">
        <f t="shared" si="27"/>
        <v>0.28833232816772958</v>
      </c>
      <c r="O114" s="2">
        <f t="shared" si="28"/>
        <v>19915.256733060287</v>
      </c>
      <c r="P114" s="2">
        <f t="shared" si="29"/>
        <v>15084.743266939713</v>
      </c>
    </row>
    <row r="115" spans="5:16" x14ac:dyDescent="0.3">
      <c r="E115" s="2">
        <v>4.8</v>
      </c>
      <c r="F115" s="6">
        <f t="shared" si="33"/>
        <v>47.550113253644241</v>
      </c>
      <c r="G115" s="6">
        <f t="shared" si="34"/>
        <v>38.810203786554403</v>
      </c>
      <c r="H115" s="7">
        <f t="shared" si="35"/>
        <v>4.5240667336969943E-2</v>
      </c>
      <c r="I115" s="6">
        <f t="shared" ref="I115:I124" si="36">(hla*F115+hga*G115+Kua*DHev*(H115-0.62*A/P))/DEN</f>
        <v>43.688432710650275</v>
      </c>
      <c r="J115" s="7">
        <f t="shared" ref="J115:J124" si="37">0.62*(A+B*I115)/P</f>
        <v>5.6037111368992878E-2</v>
      </c>
      <c r="K115" s="7">
        <f t="shared" ref="K115:K124" si="38">0.62*(A+B*G115)/P</f>
        <v>4.5252374213379881E-2</v>
      </c>
      <c r="L115" s="6">
        <f t="shared" ref="L115:L124" si="39">Kua*dz*(J115-H115)/Gs</f>
        <v>5.5366379651399671E-4</v>
      </c>
      <c r="M115" s="6">
        <f t="shared" ref="M115:M124" si="40">(hga*dz*(I115-G115)/Gs/Cu)</f>
        <v>0.25016558585107035</v>
      </c>
      <c r="N115" s="6">
        <f t="shared" ref="N115:N124" si="41">hla*dz*(F115-I115)/$B$3</f>
        <v>0.28962604072454745</v>
      </c>
      <c r="O115" s="2">
        <f t="shared" ref="O115:O123" si="42">O116-Kua*dz*(J116-H116)</f>
        <v>19923.561690007999</v>
      </c>
      <c r="P115" s="2">
        <f t="shared" ref="P115:P124" si="43">Gs+$B$3-O115</f>
        <v>15076.438309992001</v>
      </c>
    </row>
    <row r="116" spans="5:16" x14ac:dyDescent="0.3">
      <c r="E116" s="2">
        <v>4.8499999999999996</v>
      </c>
      <c r="F116" s="6">
        <f t="shared" si="33"/>
        <v>47.83973929436879</v>
      </c>
      <c r="G116" s="6">
        <f t="shared" si="34"/>
        <v>39.060369372405475</v>
      </c>
      <c r="H116" s="7">
        <f t="shared" si="35"/>
        <v>4.579433113348394E-2</v>
      </c>
      <c r="I116" s="6">
        <f t="shared" si="36"/>
        <v>43.960731854177283</v>
      </c>
      <c r="J116" s="7">
        <f t="shared" si="37"/>
        <v>5.6639107449195619E-2</v>
      </c>
      <c r="K116" s="7">
        <f t="shared" si="38"/>
        <v>4.5805437657257475E-2</v>
      </c>
      <c r="L116" s="6">
        <f t="shared" si="39"/>
        <v>5.5614237516470153E-4</v>
      </c>
      <c r="M116" s="6">
        <f t="shared" si="40"/>
        <v>0.25130064009086189</v>
      </c>
      <c r="N116" s="6">
        <f t="shared" si="41"/>
        <v>0.29092555801436309</v>
      </c>
      <c r="O116" s="2">
        <f t="shared" si="42"/>
        <v>19931.903825635469</v>
      </c>
      <c r="P116" s="2">
        <f t="shared" si="43"/>
        <v>15068.096174364531</v>
      </c>
    </row>
    <row r="117" spans="5:16" x14ac:dyDescent="0.3">
      <c r="E117" s="2">
        <v>4.9000000000000004</v>
      </c>
      <c r="F117" s="6">
        <f t="shared" si="33"/>
        <v>48.130664852383156</v>
      </c>
      <c r="G117" s="6">
        <f t="shared" si="34"/>
        <v>39.311670012496336</v>
      </c>
      <c r="H117" s="7">
        <f t="shared" si="35"/>
        <v>4.635047350864864E-2</v>
      </c>
      <c r="I117" s="6">
        <f t="shared" si="36"/>
        <v>44.234252771285597</v>
      </c>
      <c r="J117" s="7">
        <f t="shared" si="37"/>
        <v>5.7243804613571127E-2</v>
      </c>
      <c r="K117" s="7">
        <f t="shared" si="38"/>
        <v>4.636101046710045E-2</v>
      </c>
      <c r="L117" s="6">
        <f t="shared" si="39"/>
        <v>5.5863236435499928E-4</v>
      </c>
      <c r="M117" s="6">
        <f t="shared" si="40"/>
        <v>0.25244014147637234</v>
      </c>
      <c r="N117" s="6">
        <f t="shared" si="41"/>
        <v>0.29223090608231689</v>
      </c>
      <c r="O117" s="2">
        <f t="shared" si="42"/>
        <v>19940.283311100793</v>
      </c>
      <c r="P117" s="2">
        <f t="shared" si="43"/>
        <v>15059.716688899207</v>
      </c>
    </row>
    <row r="118" spans="5:16" x14ac:dyDescent="0.3">
      <c r="E118" s="2">
        <v>4.95</v>
      </c>
      <c r="F118" s="6">
        <f t="shared" si="33"/>
        <v>48.422895758465472</v>
      </c>
      <c r="G118" s="6">
        <f t="shared" si="34"/>
        <v>39.564110153972706</v>
      </c>
      <c r="H118" s="7">
        <f t="shared" si="35"/>
        <v>4.6909105873003641E-2</v>
      </c>
      <c r="I118" s="6">
        <f t="shared" si="36"/>
        <v>44.509000943926665</v>
      </c>
      <c r="J118" s="7">
        <f t="shared" si="37"/>
        <v>5.7851214981559977E-2</v>
      </c>
      <c r="K118" s="7">
        <f t="shared" si="38"/>
        <v>4.6919102474611764E-2</v>
      </c>
      <c r="L118" s="6">
        <f t="shared" si="39"/>
        <v>5.6113380043878655E-4</v>
      </c>
      <c r="M118" s="6">
        <f t="shared" si="40"/>
        <v>0.25358414307456201</v>
      </c>
      <c r="N118" s="6">
        <f t="shared" si="41"/>
        <v>0.29354211109041051</v>
      </c>
      <c r="O118" s="2">
        <f t="shared" si="42"/>
        <v>19948.700318107374</v>
      </c>
      <c r="P118" s="2">
        <f t="shared" si="43"/>
        <v>15051.299681892626</v>
      </c>
    </row>
    <row r="119" spans="5:16" x14ac:dyDescent="0.3">
      <c r="E119" s="2">
        <v>5</v>
      </c>
      <c r="F119" s="6">
        <f t="shared" si="33"/>
        <v>48.716437869555882</v>
      </c>
      <c r="G119" s="6">
        <f t="shared" si="34"/>
        <v>39.817694297047268</v>
      </c>
      <c r="H119" s="7">
        <f t="shared" si="35"/>
        <v>4.7470239673442424E-2</v>
      </c>
      <c r="I119" s="6">
        <f t="shared" si="36"/>
        <v>44.784981878648779</v>
      </c>
      <c r="J119" s="7">
        <f t="shared" si="37"/>
        <v>5.8461350726981158E-2</v>
      </c>
      <c r="K119" s="7">
        <f t="shared" si="38"/>
        <v>4.7479723628814231E-2</v>
      </c>
      <c r="L119" s="6">
        <f t="shared" si="39"/>
        <v>5.6364672069429418E-4</v>
      </c>
      <c r="M119" s="6">
        <f t="shared" si="40"/>
        <v>0.25473269649238517</v>
      </c>
      <c r="N119" s="6">
        <f t="shared" si="41"/>
        <v>0.29485919931803278</v>
      </c>
      <c r="O119" s="2">
        <f t="shared" si="42"/>
        <v>19957.155018917787</v>
      </c>
      <c r="P119" s="2">
        <f t="shared" si="43"/>
        <v>15042.844981082213</v>
      </c>
    </row>
    <row r="120" spans="5:16" x14ac:dyDescent="0.3">
      <c r="E120" s="2">
        <v>5.05</v>
      </c>
      <c r="F120" s="6">
        <f t="shared" si="33"/>
        <v>49.011297068873915</v>
      </c>
      <c r="G120" s="6">
        <f t="shared" si="34"/>
        <v>40.072426993539651</v>
      </c>
      <c r="H120" s="7">
        <f t="shared" si="35"/>
        <v>4.8033886394136721E-2</v>
      </c>
      <c r="I120" s="6">
        <f t="shared" si="36"/>
        <v>45.062201106707484</v>
      </c>
      <c r="J120" s="7">
        <f t="shared" si="37"/>
        <v>5.9074224078276207E-2</v>
      </c>
      <c r="K120" s="7">
        <f t="shared" si="38"/>
        <v>4.8042883992822791E-2</v>
      </c>
      <c r="L120" s="6">
        <f t="shared" si="39"/>
        <v>5.6617116328920439E-4</v>
      </c>
      <c r="M120" s="6">
        <f t="shared" si="40"/>
        <v>0.25588585195732477</v>
      </c>
      <c r="N120" s="6">
        <f t="shared" si="41"/>
        <v>0.29618219716248234</v>
      </c>
      <c r="O120" s="2">
        <f t="shared" si="42"/>
        <v>19965.647586367126</v>
      </c>
      <c r="P120" s="2">
        <f t="shared" si="43"/>
        <v>15034.352413632874</v>
      </c>
    </row>
    <row r="121" spans="5:16" x14ac:dyDescent="0.3">
      <c r="E121" s="2">
        <v>5.0999999999999996</v>
      </c>
      <c r="F121" s="6">
        <f t="shared" si="33"/>
        <v>49.307479266036395</v>
      </c>
      <c r="G121" s="6">
        <f t="shared" si="34"/>
        <v>40.328312845496974</v>
      </c>
      <c r="H121" s="7">
        <f t="shared" si="35"/>
        <v>4.8600057557425927E-2</v>
      </c>
      <c r="I121" s="6">
        <f t="shared" si="36"/>
        <v>45.34066418417639</v>
      </c>
      <c r="J121" s="7">
        <f t="shared" si="37"/>
        <v>5.9689847318754166E-2</v>
      </c>
      <c r="K121" s="7">
        <f t="shared" si="38"/>
        <v>4.8608593740794764E-2</v>
      </c>
      <c r="L121" s="6">
        <f t="shared" si="39"/>
        <v>5.6870716724760205E-4</v>
      </c>
      <c r="M121" s="6">
        <f t="shared" si="40"/>
        <v>0.25704365839381615</v>
      </c>
      <c r="N121" s="6">
        <f t="shared" si="41"/>
        <v>0.2975111311395004</v>
      </c>
      <c r="O121" s="2">
        <f t="shared" si="42"/>
        <v>19974.178193875839</v>
      </c>
      <c r="P121" s="2">
        <f t="shared" si="43"/>
        <v>15025.821806124161</v>
      </c>
    </row>
    <row r="122" spans="5:16" x14ac:dyDescent="0.3">
      <c r="E122" s="2">
        <v>5.15</v>
      </c>
      <c r="F122" s="6">
        <f t="shared" si="33"/>
        <v>49.604990397175897</v>
      </c>
      <c r="G122" s="6">
        <f t="shared" si="34"/>
        <v>40.585356503890793</v>
      </c>
      <c r="H122" s="7">
        <f t="shared" si="35"/>
        <v>4.9168764724673526E-2</v>
      </c>
      <c r="I122" s="6">
        <f t="shared" si="36"/>
        <v>45.620376692058521</v>
      </c>
      <c r="J122" s="7">
        <f t="shared" si="37"/>
        <v>6.03082327868378E-2</v>
      </c>
      <c r="K122" s="7">
        <f t="shared" si="38"/>
        <v>4.9176863155049093E-2</v>
      </c>
      <c r="L122" s="6">
        <f t="shared" si="39"/>
        <v>5.7125477241868066E-4</v>
      </c>
      <c r="M122" s="6">
        <f t="shared" si="40"/>
        <v>0.2582061634957809</v>
      </c>
      <c r="N122" s="6">
        <f t="shared" si="41"/>
        <v>0.29884602788380316</v>
      </c>
      <c r="O122" s="2">
        <f t="shared" si="42"/>
        <v>19982.747015462119</v>
      </c>
      <c r="P122" s="2">
        <f t="shared" si="43"/>
        <v>15017.252984537881</v>
      </c>
    </row>
    <row r="123" spans="5:16" x14ac:dyDescent="0.3">
      <c r="E123" s="2">
        <v>5.2</v>
      </c>
      <c r="F123" s="8">
        <f t="shared" si="33"/>
        <v>49.903836425059701</v>
      </c>
      <c r="G123" s="8">
        <f t="shared" si="34"/>
        <v>40.843562667386571</v>
      </c>
      <c r="H123" s="9">
        <f t="shared" si="35"/>
        <v>4.9740019497092204E-2</v>
      </c>
      <c r="I123" s="8">
        <f t="shared" si="36"/>
        <v>45.901344236398224</v>
      </c>
      <c r="J123" s="9">
        <f t="shared" si="37"/>
        <v>6.0929392876310912E-2</v>
      </c>
      <c r="K123" s="9">
        <f t="shared" si="38"/>
        <v>4.9747702623345942E-2</v>
      </c>
      <c r="L123" s="8">
        <f t="shared" si="39"/>
        <v>5.7381401944711326E-4</v>
      </c>
      <c r="M123" s="8">
        <f t="shared" si="40"/>
        <v>0.25937341379546935</v>
      </c>
      <c r="N123" s="8">
        <f t="shared" si="41"/>
        <v>0.3001869141496108</v>
      </c>
      <c r="O123" s="2">
        <f t="shared" si="42"/>
        <v>19991.354225753825</v>
      </c>
      <c r="P123" s="2">
        <f t="shared" si="43"/>
        <v>15008.645774246175</v>
      </c>
    </row>
    <row r="124" spans="5:16" x14ac:dyDescent="0.3">
      <c r="E124" s="10">
        <v>5.25</v>
      </c>
      <c r="F124" s="13">
        <f t="shared" si="33"/>
        <v>50.204023339209314</v>
      </c>
      <c r="G124" s="13">
        <f t="shared" si="34"/>
        <v>41.102936081182044</v>
      </c>
      <c r="H124" s="14">
        <f t="shared" si="35"/>
        <v>5.0313833516539321E-2</v>
      </c>
      <c r="I124" s="13">
        <f t="shared" si="36"/>
        <v>46.183572448393484</v>
      </c>
      <c r="J124" s="14">
        <f t="shared" si="37"/>
        <v>6.1553340036566748E-2</v>
      </c>
      <c r="K124" s="14">
        <f t="shared" si="38"/>
        <v>5.0321122636318515E-2</v>
      </c>
      <c r="L124" s="13">
        <f t="shared" si="39"/>
        <v>5.7638494974499629E-4</v>
      </c>
      <c r="M124" s="13">
        <f t="shared" si="40"/>
        <v>0.26054545472879181</v>
      </c>
      <c r="N124" s="13">
        <f t="shared" si="41"/>
        <v>0.30153381681118724</v>
      </c>
      <c r="O124" s="10">
        <f>B3</f>
        <v>20000</v>
      </c>
      <c r="P124" s="10">
        <f t="shared" si="43"/>
        <v>15000</v>
      </c>
    </row>
  </sheetData>
  <mergeCells count="2">
    <mergeCell ref="A1:C1"/>
    <mergeCell ref="E11:F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B90F8-4B69-40B4-98C7-886F5FDD6C7D}">
  <dimension ref="A1:M27"/>
  <sheetViews>
    <sheetView workbookViewId="0">
      <selection activeCell="I22" sqref="I22"/>
    </sheetView>
  </sheetViews>
  <sheetFormatPr defaultRowHeight="14.4" x14ac:dyDescent="0.3"/>
  <cols>
    <col min="3" max="3" width="8.88671875" customWidth="1"/>
    <col min="6" max="6" width="8.88671875" customWidth="1"/>
    <col min="8" max="8" width="12.6640625" bestFit="1" customWidth="1"/>
  </cols>
  <sheetData>
    <row r="1" spans="1:13" x14ac:dyDescent="0.3">
      <c r="K1" s="1" t="s">
        <v>52</v>
      </c>
      <c r="L1" s="1" t="s">
        <v>53</v>
      </c>
      <c r="M1" s="3" t="s">
        <v>17</v>
      </c>
    </row>
    <row r="2" spans="1:13" x14ac:dyDescent="0.3">
      <c r="K2" s="2">
        <v>25</v>
      </c>
      <c r="L2" s="2">
        <v>298.14999999999998</v>
      </c>
      <c r="M2" s="2">
        <f t="shared" ref="M2:M27" si="0">EXP($H$4/L2+$H$5+$H$6*L2+$H$7*(L2)^2+$H$8*(L2^3)+$H$9*LN(L2))*760/101325</f>
        <v>23.771078384496988</v>
      </c>
    </row>
    <row r="3" spans="1:13" x14ac:dyDescent="0.3">
      <c r="A3" s="10" t="s">
        <v>54</v>
      </c>
      <c r="G3" s="26" t="s">
        <v>49</v>
      </c>
      <c r="H3" s="26"/>
      <c r="I3" s="26"/>
      <c r="K3" s="2">
        <v>26</v>
      </c>
      <c r="L3" s="2">
        <v>299.14999999999998</v>
      </c>
      <c r="M3" s="2">
        <f t="shared" si="0"/>
        <v>25.225567388270871</v>
      </c>
    </row>
    <row r="4" spans="1:13" x14ac:dyDescent="0.3">
      <c r="A4" s="1" t="s">
        <v>0</v>
      </c>
      <c r="B4" s="2">
        <v>0.26</v>
      </c>
      <c r="C4" s="2" t="s">
        <v>1</v>
      </c>
      <c r="G4" s="2" t="s">
        <v>39</v>
      </c>
      <c r="H4" s="2">
        <f>-5800.2206</f>
        <v>-5800.2205999999996</v>
      </c>
      <c r="I4" s="2"/>
      <c r="K4" s="2">
        <v>27</v>
      </c>
      <c r="L4" s="2">
        <v>300.14999999999998</v>
      </c>
      <c r="M4" s="2">
        <f t="shared" si="0"/>
        <v>26.757039268419121</v>
      </c>
    </row>
    <row r="5" spans="1:13" x14ac:dyDescent="0.3">
      <c r="A5" s="1" t="s">
        <v>2</v>
      </c>
      <c r="B5" s="2">
        <v>20</v>
      </c>
      <c r="C5" s="2" t="s">
        <v>3</v>
      </c>
      <c r="D5" s="2">
        <f>20+273.15</f>
        <v>293.14999999999998</v>
      </c>
      <c r="E5" s="2" t="s">
        <v>9</v>
      </c>
      <c r="G5" s="2" t="s">
        <v>40</v>
      </c>
      <c r="H5" s="2">
        <f>1.3914993</f>
        <v>1.3914993</v>
      </c>
      <c r="I5" s="2"/>
      <c r="K5" s="2">
        <v>28</v>
      </c>
      <c r="L5" s="2">
        <v>301.14999999999998</v>
      </c>
      <c r="M5" s="2">
        <f t="shared" si="0"/>
        <v>28.368885227002405</v>
      </c>
    </row>
    <row r="6" spans="1:13" x14ac:dyDescent="0.3">
      <c r="A6" s="1" t="s">
        <v>4</v>
      </c>
      <c r="B6" s="2">
        <v>0.5</v>
      </c>
      <c r="C6" s="2" t="s">
        <v>55</v>
      </c>
      <c r="G6" s="2" t="s">
        <v>41</v>
      </c>
      <c r="H6" s="2">
        <f>-0.048640239</f>
        <v>-4.8640239000000002E-2</v>
      </c>
      <c r="I6" s="2"/>
      <c r="K6" s="2">
        <v>29</v>
      </c>
      <c r="L6" s="2">
        <v>302.14999999999998</v>
      </c>
      <c r="M6" s="2">
        <f t="shared" si="0"/>
        <v>30.064612291774186</v>
      </c>
    </row>
    <row r="7" spans="1:13" x14ac:dyDescent="0.3">
      <c r="A7" s="3" t="s">
        <v>8</v>
      </c>
      <c r="B7" s="2">
        <f>B6*0.62*EXP(H4/D5+H5+H6*D5+H7*(D5)^2+H8*(D5^3)+H9*LN(D5))/101325</f>
        <v>7.1554813424419862E-3</v>
      </c>
      <c r="C7" s="2" t="s">
        <v>55</v>
      </c>
      <c r="G7" s="2" t="s">
        <v>42</v>
      </c>
      <c r="H7" s="2">
        <f>0.000041764768</f>
        <v>4.1764768000000003E-5</v>
      </c>
      <c r="I7" s="2"/>
      <c r="K7" s="2">
        <v>30</v>
      </c>
      <c r="L7" s="2">
        <v>303.14999999999998</v>
      </c>
      <c r="M7" s="2">
        <f t="shared" si="0"/>
        <v>31.847845893218643</v>
      </c>
    </row>
    <row r="8" spans="1:13" x14ac:dyDescent="0.3">
      <c r="G8" s="2" t="s">
        <v>43</v>
      </c>
      <c r="H8" s="2">
        <f>-0.000000014452093</f>
        <v>-1.4452092999999999E-8</v>
      </c>
      <c r="I8" s="2"/>
      <c r="K8" s="2">
        <v>31</v>
      </c>
      <c r="L8" s="2">
        <v>304.14999999999998</v>
      </c>
      <c r="M8" s="2">
        <f t="shared" si="0"/>
        <v>33.722332453347605</v>
      </c>
    </row>
    <row r="9" spans="1:13" x14ac:dyDescent="0.3">
      <c r="G9" s="2" t="s">
        <v>44</v>
      </c>
      <c r="H9" s="2">
        <v>6.5459673</v>
      </c>
      <c r="I9" s="2"/>
      <c r="K9" s="2">
        <v>32</v>
      </c>
      <c r="L9" s="2">
        <v>305.14999999999998</v>
      </c>
      <c r="M9" s="2">
        <f t="shared" si="0"/>
        <v>35.691941985054527</v>
      </c>
    </row>
    <row r="10" spans="1:13" x14ac:dyDescent="0.3">
      <c r="A10" s="27" t="s">
        <v>56</v>
      </c>
      <c r="B10" s="28"/>
      <c r="C10" s="29"/>
      <c r="K10" s="2">
        <v>33</v>
      </c>
      <c r="L10" s="2">
        <v>306.14999999999998</v>
      </c>
      <c r="M10" s="2">
        <f t="shared" si="0"/>
        <v>37.760670700818196</v>
      </c>
    </row>
    <row r="11" spans="1:13" x14ac:dyDescent="0.3">
      <c r="B11" s="2" t="s">
        <v>3</v>
      </c>
      <c r="C11" s="2" t="s">
        <v>9</v>
      </c>
      <c r="E11" s="11" t="s">
        <v>57</v>
      </c>
      <c r="G11" s="3" t="s">
        <v>50</v>
      </c>
      <c r="H11" s="2">
        <f>EXP(H4/C12+H5+H6*C12+H7*(C12)^2+H8*(C12^3)+H9*LN(C12))</f>
        <v>1601.1356221969463</v>
      </c>
      <c r="I11" s="2" t="s">
        <v>6</v>
      </c>
      <c r="K11" s="2">
        <v>34</v>
      </c>
      <c r="L11" s="2">
        <v>307.14999999999998</v>
      </c>
      <c r="M11" s="2">
        <f t="shared" si="0"/>
        <v>39.932643629537395</v>
      </c>
    </row>
    <row r="12" spans="1:13" x14ac:dyDescent="0.3">
      <c r="A12" s="12" t="s">
        <v>7</v>
      </c>
      <c r="B12" s="2">
        <v>14.023752227574816</v>
      </c>
      <c r="C12" s="2">
        <f>B12+273.15</f>
        <v>287.17375222757477</v>
      </c>
      <c r="E12" s="2">
        <f>H22*(B7-0.62*H11/101325)+B4*(D5-C12)</f>
        <v>-7.704620275106322E-9</v>
      </c>
      <c r="K12" s="2">
        <v>35</v>
      </c>
      <c r="L12" s="2">
        <v>308.14999999999998</v>
      </c>
      <c r="M12" s="2">
        <f t="shared" si="0"/>
        <v>42.212117240272221</v>
      </c>
    </row>
    <row r="13" spans="1:13" x14ac:dyDescent="0.3">
      <c r="G13" s="26" t="s">
        <v>51</v>
      </c>
      <c r="H13" s="26"/>
      <c r="K13" s="2">
        <v>36</v>
      </c>
      <c r="L13" s="2">
        <v>309.14999999999998</v>
      </c>
      <c r="M13" s="2">
        <f t="shared" si="0"/>
        <v>44.603482071651072</v>
      </c>
    </row>
    <row r="14" spans="1:13" x14ac:dyDescent="0.3">
      <c r="G14" s="2" t="s">
        <v>45</v>
      </c>
      <c r="H14" s="2">
        <f>52053000</f>
        <v>52053000</v>
      </c>
      <c r="K14" s="2">
        <v>37</v>
      </c>
      <c r="L14" s="2">
        <v>310.14999999999998</v>
      </c>
      <c r="M14" s="2">
        <f t="shared" si="0"/>
        <v>47.111265365709066</v>
      </c>
    </row>
    <row r="15" spans="1:13" x14ac:dyDescent="0.3">
      <c r="G15" s="2" t="s">
        <v>46</v>
      </c>
      <c r="H15" s="2">
        <v>0.31990000000000002</v>
      </c>
      <c r="K15" s="2">
        <v>38</v>
      </c>
      <c r="L15" s="2">
        <v>311.14999999999998</v>
      </c>
      <c r="M15" s="2">
        <f t="shared" si="0"/>
        <v>49.740133704910605</v>
      </c>
    </row>
    <row r="16" spans="1:13" x14ac:dyDescent="0.3">
      <c r="G16" s="2" t="s">
        <v>47</v>
      </c>
      <c r="H16" s="2">
        <v>-0.21199999999999999</v>
      </c>
      <c r="K16" s="2">
        <v>39</v>
      </c>
      <c r="L16" s="2">
        <v>312.14999999999998</v>
      </c>
      <c r="M16" s="2">
        <f t="shared" si="0"/>
        <v>52.494895651107932</v>
      </c>
    </row>
    <row r="17" spans="7:13" x14ac:dyDescent="0.3">
      <c r="G17" s="2" t="s">
        <v>48</v>
      </c>
      <c r="H17" s="2">
        <v>0.25795000000000001</v>
      </c>
      <c r="K17" s="2">
        <v>40</v>
      </c>
      <c r="L17" s="2">
        <v>313.14999999999998</v>
      </c>
      <c r="M17" s="2">
        <f t="shared" si="0"/>
        <v>55.380504385190726</v>
      </c>
    </row>
    <row r="18" spans="7:13" x14ac:dyDescent="0.3">
      <c r="K18" s="2">
        <v>41</v>
      </c>
      <c r="L18" s="2">
        <v>314.14999999999998</v>
      </c>
      <c r="M18" s="2">
        <f t="shared" si="0"/>
        <v>58.402060346169925</v>
      </c>
    </row>
    <row r="19" spans="7:13" x14ac:dyDescent="0.3">
      <c r="G19" s="1" t="s">
        <v>10</v>
      </c>
      <c r="H19" s="2">
        <v>647</v>
      </c>
      <c r="I19" s="2" t="s">
        <v>9</v>
      </c>
      <c r="K19" s="2">
        <v>42</v>
      </c>
      <c r="L19" s="2">
        <v>315.14999999999998</v>
      </c>
      <c r="M19" s="2">
        <f t="shared" si="0"/>
        <v>61.564813868457904</v>
      </c>
    </row>
    <row r="20" spans="7:13" x14ac:dyDescent="0.3">
      <c r="G20" s="3" t="s">
        <v>11</v>
      </c>
      <c r="H20" s="2">
        <f>C12/H19</f>
        <v>0.44385433110908001</v>
      </c>
      <c r="I20" s="2" t="s">
        <v>55</v>
      </c>
      <c r="K20" s="2">
        <v>43</v>
      </c>
      <c r="L20" s="2">
        <v>316.14999999999998</v>
      </c>
      <c r="M20" s="2">
        <f t="shared" si="0"/>
        <v>64.874167816090278</v>
      </c>
    </row>
    <row r="21" spans="7:13" x14ac:dyDescent="0.3">
      <c r="K21" s="2">
        <v>44</v>
      </c>
      <c r="L21" s="2">
        <v>317.14999999999998</v>
      </c>
      <c r="M21" s="2">
        <f t="shared" si="0"/>
        <v>68.335680212654793</v>
      </c>
    </row>
    <row r="22" spans="7:13" x14ac:dyDescent="0.3">
      <c r="G22" s="3" t="s">
        <v>5</v>
      </c>
      <c r="H22" s="2">
        <f>H14*(1-H20)^(H15+H16*H20+H17*H20*H20)/4.18/18/1000</f>
        <v>588.18080229296481</v>
      </c>
      <c r="I22" s="2" t="s">
        <v>61</v>
      </c>
      <c r="K22" s="2">
        <v>45</v>
      </c>
      <c r="L22" s="2">
        <v>318.14999999999998</v>
      </c>
      <c r="M22" s="2">
        <f t="shared" si="0"/>
        <v>71.955066865687044</v>
      </c>
    </row>
    <row r="23" spans="7:13" x14ac:dyDescent="0.3">
      <c r="K23" s="2">
        <v>46</v>
      </c>
      <c r="L23" s="2">
        <v>319.14999999999998</v>
      </c>
      <c r="M23" s="2">
        <f t="shared" si="0"/>
        <v>75.738203984304761</v>
      </c>
    </row>
    <row r="24" spans="7:13" x14ac:dyDescent="0.3">
      <c r="K24" s="2">
        <v>47</v>
      </c>
      <c r="L24" s="2">
        <v>320.14999999999998</v>
      </c>
      <c r="M24" s="2">
        <f t="shared" si="0"/>
        <v>79.691130788861514</v>
      </c>
    </row>
    <row r="25" spans="7:13" x14ac:dyDescent="0.3">
      <c r="K25" s="2">
        <v>48</v>
      </c>
      <c r="L25" s="2">
        <v>321.14999999999998</v>
      </c>
      <c r="M25" s="2">
        <f t="shared" si="0"/>
        <v>83.820052111402873</v>
      </c>
    </row>
    <row r="26" spans="7:13" x14ac:dyDescent="0.3">
      <c r="K26" s="2">
        <v>49</v>
      </c>
      <c r="L26" s="2">
        <v>322.14999999999998</v>
      </c>
      <c r="M26" s="2">
        <f t="shared" si="0"/>
        <v>88.131340985728187</v>
      </c>
    </row>
    <row r="27" spans="7:13" x14ac:dyDescent="0.3">
      <c r="K27" s="2">
        <v>50</v>
      </c>
      <c r="L27" s="2">
        <v>323.14999999999998</v>
      </c>
      <c r="M27" s="2">
        <f t="shared" si="0"/>
        <v>92.631541225857873</v>
      </c>
    </row>
  </sheetData>
  <mergeCells count="3">
    <mergeCell ref="G3:I3"/>
    <mergeCell ref="G13:H13"/>
    <mergeCell ref="A10:C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A63A-2DB7-4919-A66D-E4391497BF84}">
  <dimension ref="A1:C25"/>
  <sheetViews>
    <sheetView tabSelected="1" workbookViewId="0">
      <selection activeCell="B4" sqref="B4"/>
    </sheetView>
  </sheetViews>
  <sheetFormatPr defaultRowHeight="14.4" x14ac:dyDescent="0.3"/>
  <cols>
    <col min="1" max="1" width="11.5546875" bestFit="1" customWidth="1"/>
    <col min="3" max="3" width="11.77734375" bestFit="1" customWidth="1"/>
  </cols>
  <sheetData>
    <row r="1" spans="1:3" ht="18" x14ac:dyDescent="0.35">
      <c r="A1" s="30" t="s">
        <v>78</v>
      </c>
      <c r="B1" s="30"/>
      <c r="C1" s="30"/>
    </row>
    <row r="3" spans="1:3" x14ac:dyDescent="0.3">
      <c r="A3" s="1" t="s">
        <v>73</v>
      </c>
      <c r="B3" s="2">
        <v>19292</v>
      </c>
      <c r="C3" s="2" t="s">
        <v>74</v>
      </c>
    </row>
    <row r="4" spans="1:3" x14ac:dyDescent="0.3">
      <c r="A4" s="1" t="s">
        <v>75</v>
      </c>
      <c r="B4" s="2">
        <v>50</v>
      </c>
      <c r="C4" s="2" t="s">
        <v>3</v>
      </c>
    </row>
    <row r="5" spans="1:3" x14ac:dyDescent="0.3">
      <c r="A5" s="1" t="s">
        <v>76</v>
      </c>
      <c r="B5" s="2">
        <v>25</v>
      </c>
      <c r="C5" s="2" t="s">
        <v>3</v>
      </c>
    </row>
    <row r="6" spans="1:3" x14ac:dyDescent="0.3">
      <c r="A6" s="1" t="s">
        <v>84</v>
      </c>
      <c r="B6" s="2">
        <f>B4-B5</f>
        <v>25</v>
      </c>
      <c r="C6" s="2" t="s">
        <v>3</v>
      </c>
    </row>
    <row r="7" spans="1:3" x14ac:dyDescent="0.3">
      <c r="A7" s="1" t="s">
        <v>77</v>
      </c>
      <c r="B7" s="2">
        <v>15</v>
      </c>
      <c r="C7" s="2" t="s">
        <v>3</v>
      </c>
    </row>
    <row r="8" spans="1:3" x14ac:dyDescent="0.3">
      <c r="A8" s="1" t="s">
        <v>70</v>
      </c>
      <c r="B8" s="2">
        <v>1</v>
      </c>
      <c r="C8" s="2" t="s">
        <v>72</v>
      </c>
    </row>
    <row r="9" spans="1:3" x14ac:dyDescent="0.3">
      <c r="A9" s="1" t="s">
        <v>71</v>
      </c>
      <c r="B9" s="2">
        <v>4.2</v>
      </c>
      <c r="C9" s="2" t="s">
        <v>55</v>
      </c>
    </row>
    <row r="10" spans="1:3" x14ac:dyDescent="0.3">
      <c r="A10" s="1" t="s">
        <v>79</v>
      </c>
      <c r="B10" s="2">
        <v>10</v>
      </c>
      <c r="C10" s="2" t="s">
        <v>3</v>
      </c>
    </row>
    <row r="11" spans="1:3" x14ac:dyDescent="0.3">
      <c r="A11" s="1" t="s">
        <v>8</v>
      </c>
      <c r="B11" s="2">
        <v>11.2</v>
      </c>
      <c r="C11" s="2" t="s">
        <v>80</v>
      </c>
    </row>
    <row r="12" spans="1:3" x14ac:dyDescent="0.3">
      <c r="A12" s="3" t="s">
        <v>82</v>
      </c>
      <c r="B12" s="2">
        <f>B3*B8*B6</f>
        <v>482300</v>
      </c>
      <c r="C12" s="2" t="s">
        <v>83</v>
      </c>
    </row>
    <row r="13" spans="1:3" x14ac:dyDescent="0.3">
      <c r="A13" s="3" t="s">
        <v>81</v>
      </c>
      <c r="B13" s="2">
        <f>B4-B10</f>
        <v>40</v>
      </c>
      <c r="C13" s="16" t="s">
        <v>3</v>
      </c>
    </row>
    <row r="14" spans="1:3" x14ac:dyDescent="0.3">
      <c r="A14" s="3" t="s">
        <v>86</v>
      </c>
      <c r="B14" s="2">
        <f>B13-B7</f>
        <v>25</v>
      </c>
      <c r="C14" s="16" t="s">
        <v>3</v>
      </c>
    </row>
    <row r="15" spans="1:3" x14ac:dyDescent="0.3">
      <c r="A15" s="3" t="s">
        <v>85</v>
      </c>
      <c r="B15" s="2">
        <f>B3*B9*B6/B14</f>
        <v>81026.400000000009</v>
      </c>
      <c r="C15" s="16" t="s">
        <v>74</v>
      </c>
    </row>
    <row r="16" spans="1:3" x14ac:dyDescent="0.3">
      <c r="A16" s="3" t="s">
        <v>87</v>
      </c>
      <c r="B16" s="2">
        <f>B4-B13</f>
        <v>10</v>
      </c>
      <c r="C16" s="16" t="s">
        <v>3</v>
      </c>
    </row>
    <row r="17" spans="1:3" x14ac:dyDescent="0.3">
      <c r="A17" s="3" t="s">
        <v>88</v>
      </c>
      <c r="B17" s="2">
        <f>B6-B7</f>
        <v>10</v>
      </c>
      <c r="C17" s="16" t="s">
        <v>3</v>
      </c>
    </row>
    <row r="18" spans="1:3" x14ac:dyDescent="0.3">
      <c r="A18" s="17" t="s">
        <v>89</v>
      </c>
      <c r="B18">
        <v>10</v>
      </c>
      <c r="C18" s="16" t="s">
        <v>3</v>
      </c>
    </row>
    <row r="19" spans="1:3" x14ac:dyDescent="0.3">
      <c r="A19" s="20" t="s">
        <v>12</v>
      </c>
      <c r="B19" s="18">
        <f>B12/B11/B17</f>
        <v>4306.25</v>
      </c>
      <c r="C19" s="18" t="s">
        <v>90</v>
      </c>
    </row>
    <row r="20" spans="1:3" x14ac:dyDescent="0.3">
      <c r="A20" s="21"/>
      <c r="B20" s="21"/>
      <c r="C20" s="21"/>
    </row>
    <row r="21" spans="1:3" x14ac:dyDescent="0.3">
      <c r="A21" s="19"/>
      <c r="B21" s="19"/>
      <c r="C21" s="19"/>
    </row>
    <row r="22" spans="1:3" x14ac:dyDescent="0.3">
      <c r="A22" s="19"/>
      <c r="B22" s="19"/>
      <c r="C22" s="19"/>
    </row>
    <row r="23" spans="1:3" x14ac:dyDescent="0.3">
      <c r="A23" s="19"/>
      <c r="B23" s="19"/>
      <c r="C23" s="19"/>
    </row>
    <row r="24" spans="1:3" x14ac:dyDescent="0.3">
      <c r="A24" s="19"/>
      <c r="B24" s="19"/>
      <c r="C24" s="19"/>
    </row>
    <row r="25" spans="1:3" x14ac:dyDescent="0.3">
      <c r="A25" s="19"/>
      <c r="B25" s="19"/>
      <c r="C25" s="19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Solution</vt:lpstr>
      <vt:lpstr>Correlations</vt:lpstr>
      <vt:lpstr>Heat exchanger</vt:lpstr>
      <vt:lpstr>Solution!A</vt:lpstr>
      <vt:lpstr>Solution!B</vt:lpstr>
      <vt:lpstr>Solution!CpL</vt:lpstr>
      <vt:lpstr>Solution!Cu</vt:lpstr>
      <vt:lpstr>Solution!DEN</vt:lpstr>
      <vt:lpstr>Solution!DHev</vt:lpstr>
      <vt:lpstr>Solution!dz</vt:lpstr>
      <vt:lpstr>Solution!Gs</vt:lpstr>
      <vt:lpstr>Solution!hga</vt:lpstr>
      <vt:lpstr>Solution!hla</vt:lpstr>
      <vt:lpstr>Solution!Kua</vt:lpstr>
      <vt:lpstr>Solution!P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Di Pretoro</dc:creator>
  <cp:lastModifiedBy>Alessandro Di Pretoro</cp:lastModifiedBy>
  <dcterms:created xsi:type="dcterms:W3CDTF">2018-08-12T15:48:23Z</dcterms:created>
  <dcterms:modified xsi:type="dcterms:W3CDTF">2018-12-18T22:01:36Z</dcterms:modified>
</cp:coreProperties>
</file>