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7585B595-5635-4A46-9FCE-8BD41C5E637C}" xr6:coauthVersionLast="38" xr6:coauthVersionMax="38" xr10:uidLastSave="{00000000-0000-0000-0000-000000000000}"/>
  <bookViews>
    <workbookView xWindow="0" yWindow="0" windowWidth="22260" windowHeight="12648" activeTab="1" xr2:uid="{00000000-000D-0000-FFFF-FFFF00000000}"/>
  </bookViews>
  <sheets>
    <sheet name="Cake filtration" sheetId="1" r:id="rId1"/>
    <sheet name="Centrifugal filtr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30" i="2" l="1"/>
  <c r="B31" i="2"/>
  <c r="B25" i="2"/>
  <c r="B32" i="2" s="1"/>
  <c r="B23" i="2"/>
  <c r="B24" i="2" s="1"/>
  <c r="D12" i="2"/>
  <c r="B21" i="2" s="1"/>
  <c r="B20" i="2"/>
  <c r="B22" i="2" l="1"/>
  <c r="B33" i="2"/>
  <c r="B34" i="2" s="1"/>
  <c r="B35" i="2" s="1"/>
  <c r="B36" i="2" s="1"/>
  <c r="B26" i="2"/>
  <c r="B8" i="1" l="1"/>
  <c r="B19" i="1" s="1"/>
  <c r="I53" i="1" l="1"/>
  <c r="I51" i="1"/>
  <c r="I48" i="1"/>
  <c r="I45" i="1"/>
  <c r="I43" i="1"/>
  <c r="I40" i="1"/>
  <c r="I37" i="1"/>
  <c r="I35" i="1"/>
  <c r="I32" i="1"/>
  <c r="I29" i="1"/>
  <c r="I27" i="1"/>
  <c r="I23" i="1"/>
  <c r="I17" i="1"/>
  <c r="I16" i="1"/>
  <c r="I14" i="1"/>
  <c r="I7" i="1"/>
  <c r="I13" i="1"/>
  <c r="I54" i="1"/>
  <c r="I46" i="1"/>
  <c r="I38" i="1"/>
  <c r="I30" i="1"/>
  <c r="I21" i="1"/>
  <c r="I20" i="1"/>
  <c r="I18" i="1"/>
  <c r="I11" i="1"/>
  <c r="I34" i="1"/>
  <c r="I10" i="1"/>
  <c r="I52" i="1"/>
  <c r="I49" i="1"/>
  <c r="I47" i="1"/>
  <c r="I44" i="1"/>
  <c r="I41" i="1"/>
  <c r="I39" i="1"/>
  <c r="I36" i="1"/>
  <c r="I33" i="1"/>
  <c r="I31" i="1"/>
  <c r="I28" i="1"/>
  <c r="I25" i="1"/>
  <c r="I24" i="1"/>
  <c r="I22" i="1"/>
  <c r="I15" i="1"/>
  <c r="I9" i="1"/>
  <c r="I8" i="1"/>
  <c r="I50" i="1"/>
  <c r="I42" i="1"/>
  <c r="I26" i="1"/>
  <c r="I19" i="1"/>
  <c r="I12" i="1"/>
  <c r="B11" i="1"/>
  <c r="H50" i="1" l="1"/>
  <c r="H42" i="1"/>
  <c r="H34" i="1"/>
  <c r="H26" i="1"/>
  <c r="H19" i="1"/>
  <c r="H13" i="1"/>
  <c r="H12" i="1"/>
  <c r="H10" i="1"/>
  <c r="H16" i="1"/>
  <c r="H33" i="1"/>
  <c r="H25" i="1"/>
  <c r="H9" i="1"/>
  <c r="H53" i="1"/>
  <c r="H51" i="1"/>
  <c r="H48" i="1"/>
  <c r="H45" i="1"/>
  <c r="H43" i="1"/>
  <c r="H40" i="1"/>
  <c r="H37" i="1"/>
  <c r="H35" i="1"/>
  <c r="H32" i="1"/>
  <c r="H29" i="1"/>
  <c r="H27" i="1"/>
  <c r="H23" i="1"/>
  <c r="H17" i="1"/>
  <c r="H14" i="1"/>
  <c r="H7" i="1"/>
  <c r="H44" i="1"/>
  <c r="H28" i="1"/>
  <c r="H24" i="1"/>
  <c r="H15" i="1"/>
  <c r="H8" i="1"/>
  <c r="H54" i="1"/>
  <c r="H46" i="1"/>
  <c r="H38" i="1"/>
  <c r="H30" i="1"/>
  <c r="H21" i="1"/>
  <c r="H20" i="1"/>
  <c r="H18" i="1"/>
  <c r="H11" i="1"/>
  <c r="H52" i="1"/>
  <c r="H49" i="1"/>
  <c r="H47" i="1"/>
  <c r="H41" i="1"/>
  <c r="H39" i="1"/>
  <c r="H36" i="1"/>
  <c r="H31" i="1"/>
  <c r="H22" i="1"/>
  <c r="B20" i="1"/>
  <c r="B27" i="1" l="1"/>
  <c r="B28" i="1" s="1"/>
  <c r="B29" i="1" s="1"/>
  <c r="B15" i="1" l="1"/>
  <c r="J54" i="1" l="1"/>
  <c r="K54" i="1" s="1"/>
  <c r="L54" i="1" s="1"/>
  <c r="J46" i="1"/>
  <c r="K46" i="1" s="1"/>
  <c r="L46" i="1" s="1"/>
  <c r="J38" i="1"/>
  <c r="K38" i="1" s="1"/>
  <c r="L38" i="1" s="1"/>
  <c r="J30" i="1"/>
  <c r="K30" i="1" s="1"/>
  <c r="L30" i="1" s="1"/>
  <c r="J21" i="1"/>
  <c r="K21" i="1" s="1"/>
  <c r="L21" i="1" s="1"/>
  <c r="J20" i="1"/>
  <c r="K20" i="1" s="1"/>
  <c r="L20" i="1" s="1"/>
  <c r="J8" i="1"/>
  <c r="K8" i="1" s="1"/>
  <c r="L8" i="1" s="1"/>
  <c r="J45" i="1"/>
  <c r="K45" i="1" s="1"/>
  <c r="L45" i="1" s="1"/>
  <c r="J17" i="1"/>
  <c r="K17" i="1" s="1"/>
  <c r="L17" i="1" s="1"/>
  <c r="J49" i="1"/>
  <c r="K49" i="1" s="1"/>
  <c r="L49" i="1" s="1"/>
  <c r="J41" i="1"/>
  <c r="K41" i="1" s="1"/>
  <c r="L41" i="1" s="1"/>
  <c r="J33" i="1"/>
  <c r="K33" i="1" s="1"/>
  <c r="L33" i="1" s="1"/>
  <c r="J25" i="1"/>
  <c r="K25" i="1" s="1"/>
  <c r="L25" i="1" s="1"/>
  <c r="J24" i="1"/>
  <c r="K24" i="1" s="1"/>
  <c r="L24" i="1" s="1"/>
  <c r="J9" i="1"/>
  <c r="K9" i="1" s="1"/>
  <c r="L9" i="1" s="1"/>
  <c r="J37" i="1"/>
  <c r="K37" i="1" s="1"/>
  <c r="L37" i="1" s="1"/>
  <c r="J29" i="1"/>
  <c r="K29" i="1" s="1"/>
  <c r="L29" i="1" s="1"/>
  <c r="J50" i="1"/>
  <c r="K50" i="1" s="1"/>
  <c r="L50" i="1" s="1"/>
  <c r="J42" i="1"/>
  <c r="K42" i="1" s="1"/>
  <c r="L42" i="1" s="1"/>
  <c r="J34" i="1"/>
  <c r="K34" i="1" s="1"/>
  <c r="L34" i="1" s="1"/>
  <c r="J26" i="1"/>
  <c r="K26" i="1" s="1"/>
  <c r="L26" i="1" s="1"/>
  <c r="J13" i="1"/>
  <c r="K13" i="1" s="1"/>
  <c r="L13" i="1" s="1"/>
  <c r="J12" i="1"/>
  <c r="K12" i="1" s="1"/>
  <c r="L12" i="1" s="1"/>
  <c r="J53" i="1"/>
  <c r="K53" i="1" s="1"/>
  <c r="L53" i="1" s="1"/>
  <c r="J16" i="1"/>
  <c r="K16" i="1" s="1"/>
  <c r="L16" i="1" s="1"/>
  <c r="J51" i="1"/>
  <c r="K51" i="1" s="1"/>
  <c r="L51" i="1" s="1"/>
  <c r="J32" i="1"/>
  <c r="K32" i="1" s="1"/>
  <c r="L32" i="1" s="1"/>
  <c r="J40" i="1"/>
  <c r="K40" i="1" s="1"/>
  <c r="L40" i="1" s="1"/>
  <c r="J23" i="1"/>
  <c r="K23" i="1" s="1"/>
  <c r="L23" i="1" s="1"/>
  <c r="J31" i="1"/>
  <c r="K31" i="1" s="1"/>
  <c r="L31" i="1" s="1"/>
  <c r="J7" i="1"/>
  <c r="K7" i="1" s="1"/>
  <c r="L7" i="1" s="1"/>
  <c r="J47" i="1"/>
  <c r="K47" i="1" s="1"/>
  <c r="L47" i="1" s="1"/>
  <c r="J10" i="1"/>
  <c r="K10" i="1" s="1"/>
  <c r="L10" i="1" s="1"/>
  <c r="J14" i="1"/>
  <c r="K14" i="1" s="1"/>
  <c r="L14" i="1" s="1"/>
  <c r="J39" i="1"/>
  <c r="K39" i="1" s="1"/>
  <c r="L39" i="1" s="1"/>
  <c r="J43" i="1"/>
  <c r="K43" i="1" s="1"/>
  <c r="L43" i="1" s="1"/>
  <c r="J22" i="1"/>
  <c r="K22" i="1" s="1"/>
  <c r="L22" i="1" s="1"/>
  <c r="J35" i="1"/>
  <c r="K35" i="1" s="1"/>
  <c r="L35" i="1" s="1"/>
  <c r="J27" i="1"/>
  <c r="K27" i="1" s="1"/>
  <c r="L27" i="1" s="1"/>
  <c r="J48" i="1"/>
  <c r="K48" i="1" s="1"/>
  <c r="L48" i="1" s="1"/>
  <c r="J44" i="1"/>
  <c r="K44" i="1" s="1"/>
  <c r="L44" i="1" s="1"/>
  <c r="J15" i="1"/>
  <c r="K15" i="1" s="1"/>
  <c r="L15" i="1" s="1"/>
  <c r="J52" i="1"/>
  <c r="K52" i="1" s="1"/>
  <c r="L52" i="1" s="1"/>
  <c r="J19" i="1"/>
  <c r="K19" i="1" s="1"/>
  <c r="L19" i="1" s="1"/>
  <c r="J11" i="1"/>
  <c r="K11" i="1" s="1"/>
  <c r="L11" i="1" s="1"/>
  <c r="J18" i="1"/>
  <c r="K18" i="1" s="1"/>
  <c r="L18" i="1" s="1"/>
  <c r="J28" i="1"/>
  <c r="K28" i="1" s="1"/>
  <c r="L28" i="1" s="1"/>
  <c r="J36" i="1"/>
  <c r="K36" i="1" s="1"/>
  <c r="L36" i="1" s="1"/>
  <c r="B36" i="1"/>
  <c r="B37" i="1" s="1"/>
  <c r="B39" i="1" s="1"/>
  <c r="B40" i="1" s="1"/>
  <c r="B21" i="1"/>
  <c r="B22" i="1" s="1"/>
  <c r="B23" i="1" l="1"/>
  <c r="B38" i="1"/>
  <c r="B41" i="1" s="1"/>
  <c r="B30" i="1"/>
  <c r="B31" i="1" l="1"/>
  <c r="B32" i="1" s="1"/>
</calcChain>
</file>

<file path=xl/sharedStrings.xml><?xml version="1.0" encoding="utf-8"?>
<sst xmlns="http://schemas.openxmlformats.org/spreadsheetml/2006/main" count="70" uniqueCount="50">
  <si>
    <t>FILTRATION</t>
  </si>
  <si>
    <t>DATA</t>
  </si>
  <si>
    <t>dP [kg/m^2]</t>
  </si>
  <si>
    <t>Vf [m^3]</t>
  </si>
  <si>
    <t>Vw [m^3]</t>
  </si>
  <si>
    <t>PRODUCTIVITY</t>
  </si>
  <si>
    <t>L [m]</t>
  </si>
  <si>
    <t>n [cycle/day]</t>
  </si>
  <si>
    <t>P [m^3/day]</t>
  </si>
  <si>
    <t>alfa</t>
  </si>
  <si>
    <t>NEW CONDITIONS</t>
  </si>
  <si>
    <t>OPTIMAL CONDITIONS</t>
  </si>
  <si>
    <t>K [m^6/min]</t>
  </si>
  <si>
    <t>t_cycle [min]</t>
  </si>
  <si>
    <t>t_charge [min]</t>
  </si>
  <si>
    <t>t_drain [min]</t>
  </si>
  <si>
    <t>t_op [min]</t>
  </si>
  <si>
    <t>t_down [min]</t>
  </si>
  <si>
    <t>tf_opt [min]</t>
  </si>
  <si>
    <t>t_w [min]</t>
  </si>
  <si>
    <t>t_f [min]</t>
  </si>
  <si>
    <t>CENTRIFUGAL FILTRATION</t>
  </si>
  <si>
    <t>Cs [kg/m^3]</t>
  </si>
  <si>
    <t>V fraction</t>
  </si>
  <si>
    <t>Dp [m]</t>
  </si>
  <si>
    <t>D [m]</t>
  </si>
  <si>
    <t>rhow [kg/m^3]</t>
  </si>
  <si>
    <t>rhos [kg/m^3]</t>
  </si>
  <si>
    <t>w [round/s]</t>
  </si>
  <si>
    <t>mu [Pa*s]</t>
  </si>
  <si>
    <t>H [m]</t>
  </si>
  <si>
    <t>R [m]</t>
  </si>
  <si>
    <t>epsi</t>
  </si>
  <si>
    <t>DECANTATION</t>
  </si>
  <si>
    <t>Ri [m]</t>
  </si>
  <si>
    <t>K [1/s]</t>
  </si>
  <si>
    <t>w [rad/s]</t>
  </si>
  <si>
    <t>tD [s]</t>
  </si>
  <si>
    <t>m_cake [kg]</t>
  </si>
  <si>
    <t>V_cake [m^3]</t>
  </si>
  <si>
    <t>S_l [m^2]</t>
  </si>
  <si>
    <t>dL [m]</t>
  </si>
  <si>
    <t>rho_cake [kg/m^3]</t>
  </si>
  <si>
    <t>Kd [Pa*s/m^6]</t>
  </si>
  <si>
    <t>Kp [Pa/m^3]</t>
  </si>
  <si>
    <t>Ktot [m^3/s]</t>
  </si>
  <si>
    <t>V0/K</t>
  </si>
  <si>
    <t>a [m^3/m^3]</t>
  </si>
  <si>
    <t>tf [s]</t>
  </si>
  <si>
    <t>A. Di Pretoro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</si>
</sst>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1" fontId="0" fillId="0" borderId="0" xfId="0" applyNumberFormat="1"/>
    <xf numFmtId="11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Productivity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'Cake filtration'!$G$7:$G$54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'Cake filtration'!$L$7:$L$54</c:f>
              <c:numCache>
                <c:formatCode>General</c:formatCode>
                <c:ptCount val="48"/>
                <c:pt idx="0">
                  <c:v>64.351107906215546</c:v>
                </c:pt>
                <c:pt idx="1">
                  <c:v>84.505766015082756</c:v>
                </c:pt>
                <c:pt idx="2">
                  <c:v>96.598136627990911</c:v>
                </c:pt>
                <c:pt idx="3">
                  <c:v>104.57055034760026</c:v>
                </c:pt>
                <c:pt idx="4">
                  <c:v>110.03616895143455</c:v>
                </c:pt>
                <c:pt idx="5">
                  <c:v>113.84199576606166</c:v>
                </c:pt>
                <c:pt idx="6">
                  <c:v>116.4916508130144</c:v>
                </c:pt>
                <c:pt idx="7">
                  <c:v>118.30807242111587</c:v>
                </c:pt>
                <c:pt idx="8">
                  <c:v>119.50920039725744</c:v>
                </c:pt>
                <c:pt idx="9">
                  <c:v>120.24767828208329</c:v>
                </c:pt>
                <c:pt idx="10">
                  <c:v>120.63348856485511</c:v>
                </c:pt>
                <c:pt idx="11">
                  <c:v>120.74767078498864</c:v>
                </c:pt>
                <c:pt idx="12">
                  <c:v>120.65103397816364</c:v>
                </c:pt>
                <c:pt idx="13">
                  <c:v>120.38989912218919</c:v>
                </c:pt>
                <c:pt idx="14">
                  <c:v>120</c:v>
                </c:pt>
                <c:pt idx="15">
                  <c:v>119.50920039725743</c:v>
                </c:pt>
                <c:pt idx="16">
                  <c:v>118.9394274240346</c:v>
                </c:pt>
                <c:pt idx="17">
                  <c:v>118.30807242111587</c:v>
                </c:pt>
                <c:pt idx="18">
                  <c:v>117.62902230596686</c:v>
                </c:pt>
                <c:pt idx="19">
                  <c:v>116.91342951089921</c:v>
                </c:pt>
                <c:pt idx="20">
                  <c:v>116.17029392268337</c:v>
                </c:pt>
                <c:pt idx="21">
                  <c:v>115.40690761501025</c:v>
                </c:pt>
                <c:pt idx="22">
                  <c:v>114.62919811821284</c:v>
                </c:pt>
                <c:pt idx="23">
                  <c:v>113.84199576606166</c:v>
                </c:pt>
                <c:pt idx="24">
                  <c:v>113.04924361902731</c:v>
                </c:pt>
                <c:pt idx="25">
                  <c:v>112.25416353043168</c:v>
                </c:pt>
                <c:pt idx="26">
                  <c:v>111.45938841691259</c:v>
                </c:pt>
                <c:pt idx="27">
                  <c:v>110.66706827236368</c:v>
                </c:pt>
                <c:pt idx="28">
                  <c:v>109.87895562821146</c:v>
                </c:pt>
                <c:pt idx="29">
                  <c:v>109.09647481163876</c:v>
                </c:pt>
                <c:pt idx="30">
                  <c:v>108.32077834918906</c:v>
                </c:pt>
                <c:pt idx="31">
                  <c:v>107.55279311010534</c:v>
                </c:pt>
                <c:pt idx="32">
                  <c:v>106.79325821417756</c:v>
                </c:pt>
                <c:pt idx="33">
                  <c:v>106.04275629467053</c:v>
                </c:pt>
                <c:pt idx="34">
                  <c:v>105.30173937345334</c:v>
                </c:pt>
                <c:pt idx="35">
                  <c:v>104.57055034760026</c:v>
                </c:pt>
                <c:pt idx="36">
                  <c:v>103.84944088604838</c:v>
                </c:pt>
                <c:pt idx="37">
                  <c:v>103.13858637774709</c:v>
                </c:pt>
                <c:pt idx="38">
                  <c:v>102.4380984489698</c:v>
                </c:pt>
                <c:pt idx="39">
                  <c:v>101.74803546945509</c:v>
                </c:pt>
                <c:pt idx="40">
                  <c:v>101.06841138904319</c:v>
                </c:pt>
                <c:pt idx="41">
                  <c:v>100.39920318408906</c:v>
                </c:pt>
                <c:pt idx="42">
                  <c:v>99.740357142809586</c:v>
                </c:pt>
                <c:pt idx="43">
                  <c:v>99.091794178273844</c:v>
                </c:pt>
                <c:pt idx="44">
                  <c:v>98.453414324967753</c:v>
                </c:pt>
                <c:pt idx="45">
                  <c:v>97.825100548198591</c:v>
                </c:pt>
                <c:pt idx="46">
                  <c:v>97.206721973829772</c:v>
                </c:pt>
                <c:pt idx="47">
                  <c:v>96.598136627990911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D8-4009-89F0-D3037CCD2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092895"/>
        <c:axId val="605448687"/>
      </c:scatterChart>
      <c:valAx>
        <c:axId val="598092895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t_f</a:t>
                </a:r>
                <a:r>
                  <a:rPr lang="it-IT" baseline="0"/>
                  <a:t> [min]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48687"/>
        <c:crosses val="autoZero"/>
        <c:crossBetween val="midCat"/>
      </c:valAx>
      <c:valAx>
        <c:axId val="605448687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Productivity [m^3/day]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92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20</xdr:col>
      <xdr:colOff>304800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EDC42C-F711-425F-97C4-69B1E91703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workbookViewId="0">
      <selection activeCell="A2" sqref="A2"/>
    </sheetView>
  </sheetViews>
  <sheetFormatPr defaultRowHeight="14.4" x14ac:dyDescent="0.3"/>
  <cols>
    <col min="1" max="1" width="12.88671875" bestFit="1" customWidth="1"/>
    <col min="2" max="2" width="8.88671875" customWidth="1"/>
    <col min="7" max="7" width="8.109375" bestFit="1" customWidth="1"/>
    <col min="10" max="12" width="12" bestFit="1" customWidth="1"/>
  </cols>
  <sheetData>
    <row r="1" spans="1:12" ht="18" x14ac:dyDescent="0.35">
      <c r="A1" s="11" t="s">
        <v>0</v>
      </c>
      <c r="B1" s="11"/>
    </row>
    <row r="2" spans="1:12" x14ac:dyDescent="0.3">
      <c r="A2" t="s">
        <v>49</v>
      </c>
    </row>
    <row r="4" spans="1:12" x14ac:dyDescent="0.3">
      <c r="A4" s="2" t="s">
        <v>1</v>
      </c>
    </row>
    <row r="6" spans="1:12" x14ac:dyDescent="0.3">
      <c r="A6" s="3" t="s">
        <v>2</v>
      </c>
      <c r="B6" s="1">
        <f>0.3*10000</f>
        <v>3000</v>
      </c>
      <c r="G6" s="4" t="s">
        <v>20</v>
      </c>
      <c r="H6" s="4" t="s">
        <v>19</v>
      </c>
      <c r="I6" s="4" t="s">
        <v>3</v>
      </c>
      <c r="J6" s="4" t="s">
        <v>13</v>
      </c>
      <c r="K6" s="4" t="s">
        <v>7</v>
      </c>
      <c r="L6" s="5" t="s">
        <v>8</v>
      </c>
    </row>
    <row r="7" spans="1:12" x14ac:dyDescent="0.3">
      <c r="A7" s="3" t="s">
        <v>6</v>
      </c>
      <c r="B7" s="1">
        <v>0.02</v>
      </c>
      <c r="G7" s="1">
        <v>1</v>
      </c>
      <c r="H7" s="1">
        <f t="shared" ref="H7:H54" si="0">2*G7/$B$11</f>
        <v>0.33333333333333331</v>
      </c>
      <c r="I7" s="1">
        <f t="shared" ref="I7:I54" si="1">SQRT(2*$B$19*G7)</f>
        <v>0.7745966692414834</v>
      </c>
      <c r="J7" s="1">
        <f t="shared" ref="J7:J54" si="2">$B$15+G7+H7</f>
        <v>17.333333333333332</v>
      </c>
      <c r="K7" s="1">
        <f t="shared" ref="K7:K54" si="3">24*60/J7</f>
        <v>83.07692307692308</v>
      </c>
      <c r="L7" s="1">
        <f t="shared" ref="L7:L54" si="4">I7*K7</f>
        <v>64.351107906215546</v>
      </c>
    </row>
    <row r="8" spans="1:12" x14ac:dyDescent="0.3">
      <c r="A8" s="3" t="s">
        <v>20</v>
      </c>
      <c r="B8" s="1">
        <f>60</f>
        <v>60</v>
      </c>
      <c r="G8" s="1">
        <v>2</v>
      </c>
      <c r="H8" s="1">
        <f t="shared" si="0"/>
        <v>0.66666666666666663</v>
      </c>
      <c r="I8" s="1">
        <f t="shared" si="1"/>
        <v>1.0954451150103321</v>
      </c>
      <c r="J8" s="1">
        <f t="shared" si="2"/>
        <v>18.666666666666668</v>
      </c>
      <c r="K8" s="1">
        <f t="shared" si="3"/>
        <v>77.142857142857139</v>
      </c>
      <c r="L8" s="1">
        <f t="shared" si="4"/>
        <v>84.505766015082756</v>
      </c>
    </row>
    <row r="9" spans="1:12" x14ac:dyDescent="0.3">
      <c r="A9" s="3" t="s">
        <v>3</v>
      </c>
      <c r="B9" s="1">
        <v>6</v>
      </c>
      <c r="G9" s="1">
        <v>3</v>
      </c>
      <c r="H9" s="1">
        <f t="shared" si="0"/>
        <v>1</v>
      </c>
      <c r="I9" s="1">
        <f t="shared" si="1"/>
        <v>1.3416407864998738</v>
      </c>
      <c r="J9" s="1">
        <f t="shared" si="2"/>
        <v>20</v>
      </c>
      <c r="K9" s="1">
        <f t="shared" si="3"/>
        <v>72</v>
      </c>
      <c r="L9" s="1">
        <f t="shared" si="4"/>
        <v>96.598136627990911</v>
      </c>
    </row>
    <row r="10" spans="1:12" x14ac:dyDescent="0.3">
      <c r="A10" s="3" t="s">
        <v>4</v>
      </c>
      <c r="B10" s="1">
        <v>1</v>
      </c>
      <c r="G10" s="1">
        <v>4</v>
      </c>
      <c r="H10" s="1">
        <f t="shared" si="0"/>
        <v>1.3333333333333333</v>
      </c>
      <c r="I10" s="1">
        <f t="shared" si="1"/>
        <v>1.5491933384829668</v>
      </c>
      <c r="J10" s="1">
        <f t="shared" si="2"/>
        <v>21.333333333333332</v>
      </c>
      <c r="K10" s="1">
        <f t="shared" si="3"/>
        <v>67.5</v>
      </c>
      <c r="L10" s="1">
        <f t="shared" si="4"/>
        <v>104.57055034760026</v>
      </c>
    </row>
    <row r="11" spans="1:12" x14ac:dyDescent="0.3">
      <c r="A11" s="4" t="s">
        <v>9</v>
      </c>
      <c r="B11" s="1">
        <f>B9/B10</f>
        <v>6</v>
      </c>
      <c r="G11" s="1">
        <v>5</v>
      </c>
      <c r="H11" s="1">
        <f t="shared" si="0"/>
        <v>1.6666666666666667</v>
      </c>
      <c r="I11" s="1">
        <f t="shared" si="1"/>
        <v>1.7320508075688772</v>
      </c>
      <c r="J11" s="1">
        <f t="shared" si="2"/>
        <v>22.666666666666668</v>
      </c>
      <c r="K11" s="1">
        <f t="shared" si="3"/>
        <v>63.529411764705877</v>
      </c>
      <c r="L11" s="1">
        <f t="shared" si="4"/>
        <v>110.03616895143455</v>
      </c>
    </row>
    <row r="12" spans="1:12" x14ac:dyDescent="0.3">
      <c r="A12" s="3" t="s">
        <v>14</v>
      </c>
      <c r="B12" s="1">
        <v>2</v>
      </c>
      <c r="G12" s="1">
        <v>6</v>
      </c>
      <c r="H12" s="1">
        <f t="shared" si="0"/>
        <v>2</v>
      </c>
      <c r="I12" s="1">
        <f t="shared" si="1"/>
        <v>1.8973665961010275</v>
      </c>
      <c r="J12" s="1">
        <f t="shared" si="2"/>
        <v>24</v>
      </c>
      <c r="K12" s="1">
        <f t="shared" si="3"/>
        <v>60</v>
      </c>
      <c r="L12" s="1">
        <f t="shared" si="4"/>
        <v>113.84199576606166</v>
      </c>
    </row>
    <row r="13" spans="1:12" x14ac:dyDescent="0.3">
      <c r="A13" s="3" t="s">
        <v>15</v>
      </c>
      <c r="B13" s="1">
        <v>3</v>
      </c>
      <c r="G13" s="1">
        <v>7</v>
      </c>
      <c r="H13" s="1">
        <f t="shared" si="0"/>
        <v>2.3333333333333335</v>
      </c>
      <c r="I13" s="1">
        <f t="shared" si="1"/>
        <v>2.0493901531919199</v>
      </c>
      <c r="J13" s="1">
        <f t="shared" si="2"/>
        <v>25.333333333333332</v>
      </c>
      <c r="K13" s="1">
        <f t="shared" si="3"/>
        <v>56.842105263157897</v>
      </c>
      <c r="L13" s="1">
        <f t="shared" si="4"/>
        <v>116.4916508130144</v>
      </c>
    </row>
    <row r="14" spans="1:12" x14ac:dyDescent="0.3">
      <c r="A14" s="3" t="s">
        <v>16</v>
      </c>
      <c r="B14" s="1">
        <v>6</v>
      </c>
      <c r="G14" s="1">
        <v>8</v>
      </c>
      <c r="H14" s="1">
        <f t="shared" si="0"/>
        <v>2.6666666666666665</v>
      </c>
      <c r="I14" s="1">
        <f t="shared" si="1"/>
        <v>2.1908902300206643</v>
      </c>
      <c r="J14" s="1">
        <f t="shared" si="2"/>
        <v>26.666666666666668</v>
      </c>
      <c r="K14" s="1">
        <f t="shared" si="3"/>
        <v>54</v>
      </c>
      <c r="L14" s="1">
        <f t="shared" si="4"/>
        <v>118.30807242111587</v>
      </c>
    </row>
    <row r="15" spans="1:12" x14ac:dyDescent="0.3">
      <c r="A15" s="4" t="s">
        <v>17</v>
      </c>
      <c r="B15" s="1">
        <f>B14+B12+B13+B12+B13</f>
        <v>16</v>
      </c>
      <c r="G15" s="1">
        <v>9</v>
      </c>
      <c r="H15" s="1">
        <f t="shared" si="0"/>
        <v>3</v>
      </c>
      <c r="I15" s="1">
        <f t="shared" si="1"/>
        <v>2.3237900077244502</v>
      </c>
      <c r="J15" s="1">
        <f t="shared" si="2"/>
        <v>28</v>
      </c>
      <c r="K15" s="1">
        <f t="shared" si="3"/>
        <v>51.428571428571431</v>
      </c>
      <c r="L15" s="1">
        <f t="shared" si="4"/>
        <v>119.50920039725744</v>
      </c>
    </row>
    <row r="16" spans="1:12" x14ac:dyDescent="0.3">
      <c r="G16" s="1">
        <v>10</v>
      </c>
      <c r="H16" s="1">
        <f t="shared" si="0"/>
        <v>3.3333333333333335</v>
      </c>
      <c r="I16" s="1">
        <f t="shared" si="1"/>
        <v>2.4494897427831779</v>
      </c>
      <c r="J16" s="1">
        <f t="shared" si="2"/>
        <v>29.333333333333332</v>
      </c>
      <c r="K16" s="1">
        <f t="shared" si="3"/>
        <v>49.090909090909093</v>
      </c>
      <c r="L16" s="1">
        <f t="shared" si="4"/>
        <v>120.24767828208329</v>
      </c>
    </row>
    <row r="17" spans="1:12" x14ac:dyDescent="0.3">
      <c r="A17" s="12" t="s">
        <v>5</v>
      </c>
      <c r="B17" s="12"/>
      <c r="G17" s="1">
        <v>11</v>
      </c>
      <c r="H17" s="1">
        <f t="shared" si="0"/>
        <v>3.6666666666666665</v>
      </c>
      <c r="I17" s="1">
        <f t="shared" si="1"/>
        <v>2.5690465157330258</v>
      </c>
      <c r="J17" s="1">
        <f t="shared" si="2"/>
        <v>30.666666666666668</v>
      </c>
      <c r="K17" s="1">
        <f t="shared" si="3"/>
        <v>46.95652173913043</v>
      </c>
      <c r="L17" s="1">
        <f t="shared" si="4"/>
        <v>120.63348856485511</v>
      </c>
    </row>
    <row r="18" spans="1:12" x14ac:dyDescent="0.3">
      <c r="G18" s="1">
        <v>12</v>
      </c>
      <c r="H18" s="1">
        <f t="shared" si="0"/>
        <v>4</v>
      </c>
      <c r="I18" s="1">
        <f t="shared" si="1"/>
        <v>2.6832815729997477</v>
      </c>
      <c r="J18" s="1">
        <f t="shared" si="2"/>
        <v>32</v>
      </c>
      <c r="K18" s="1">
        <f t="shared" si="3"/>
        <v>45</v>
      </c>
      <c r="L18" s="1">
        <f t="shared" si="4"/>
        <v>120.74767078498864</v>
      </c>
    </row>
    <row r="19" spans="1:12" x14ac:dyDescent="0.3">
      <c r="A19" s="4" t="s">
        <v>12</v>
      </c>
      <c r="B19" s="1">
        <f>1/2*B9^2/B8</f>
        <v>0.3</v>
      </c>
      <c r="G19" s="1">
        <v>13</v>
      </c>
      <c r="H19" s="1">
        <f t="shared" si="0"/>
        <v>4.333333333333333</v>
      </c>
      <c r="I19" s="1">
        <f t="shared" si="1"/>
        <v>2.7928480087537881</v>
      </c>
      <c r="J19" s="1">
        <f t="shared" si="2"/>
        <v>33.333333333333336</v>
      </c>
      <c r="K19" s="1">
        <f t="shared" si="3"/>
        <v>43.199999999999996</v>
      </c>
      <c r="L19" s="1">
        <f t="shared" si="4"/>
        <v>120.65103397816364</v>
      </c>
    </row>
    <row r="20" spans="1:12" x14ac:dyDescent="0.3">
      <c r="A20" s="4" t="s">
        <v>19</v>
      </c>
      <c r="B20" s="1">
        <f>2*B8/B11</f>
        <v>20</v>
      </c>
      <c r="G20" s="1">
        <v>14</v>
      </c>
      <c r="H20" s="1">
        <f t="shared" si="0"/>
        <v>4.666666666666667</v>
      </c>
      <c r="I20" s="1">
        <f t="shared" si="1"/>
        <v>2.8982753492378879</v>
      </c>
      <c r="J20" s="1">
        <f t="shared" si="2"/>
        <v>34.666666666666664</v>
      </c>
      <c r="K20" s="1">
        <f t="shared" si="3"/>
        <v>41.53846153846154</v>
      </c>
      <c r="L20" s="1">
        <f t="shared" si="4"/>
        <v>120.38989912218919</v>
      </c>
    </row>
    <row r="21" spans="1:12" x14ac:dyDescent="0.3">
      <c r="A21" s="4" t="s">
        <v>13</v>
      </c>
      <c r="B21" s="1">
        <f>B8+B20+B15</f>
        <v>96</v>
      </c>
      <c r="G21" s="1">
        <v>15</v>
      </c>
      <c r="H21" s="1">
        <f t="shared" si="0"/>
        <v>5</v>
      </c>
      <c r="I21" s="1">
        <f t="shared" si="1"/>
        <v>3</v>
      </c>
      <c r="J21" s="1">
        <f t="shared" si="2"/>
        <v>36</v>
      </c>
      <c r="K21" s="1">
        <f t="shared" si="3"/>
        <v>40</v>
      </c>
      <c r="L21" s="1">
        <f t="shared" si="4"/>
        <v>120</v>
      </c>
    </row>
    <row r="22" spans="1:12" x14ac:dyDescent="0.3">
      <c r="A22" s="4" t="s">
        <v>7</v>
      </c>
      <c r="B22" s="1">
        <f>24*60/B21</f>
        <v>15</v>
      </c>
      <c r="G22" s="1">
        <v>16</v>
      </c>
      <c r="H22" s="1">
        <f t="shared" si="0"/>
        <v>5.333333333333333</v>
      </c>
      <c r="I22" s="1">
        <f t="shared" si="1"/>
        <v>3.0983866769659336</v>
      </c>
      <c r="J22" s="1">
        <f t="shared" si="2"/>
        <v>37.333333333333336</v>
      </c>
      <c r="K22" s="1">
        <f t="shared" si="3"/>
        <v>38.571428571428569</v>
      </c>
      <c r="L22" s="1">
        <f t="shared" si="4"/>
        <v>119.50920039725743</v>
      </c>
    </row>
    <row r="23" spans="1:12" x14ac:dyDescent="0.3">
      <c r="A23" s="5" t="s">
        <v>8</v>
      </c>
      <c r="B23" s="1">
        <f>B9*B22</f>
        <v>90</v>
      </c>
      <c r="G23" s="1">
        <v>17</v>
      </c>
      <c r="H23" s="1">
        <f t="shared" si="0"/>
        <v>5.666666666666667</v>
      </c>
      <c r="I23" s="1">
        <f t="shared" si="1"/>
        <v>3.1937438845342623</v>
      </c>
      <c r="J23" s="1">
        <f t="shared" si="2"/>
        <v>38.666666666666664</v>
      </c>
      <c r="K23" s="1">
        <f t="shared" si="3"/>
        <v>37.241379310344833</v>
      </c>
      <c r="L23" s="1">
        <f t="shared" si="4"/>
        <v>118.9394274240346</v>
      </c>
    </row>
    <row r="24" spans="1:12" x14ac:dyDescent="0.3">
      <c r="G24" s="1">
        <v>18</v>
      </c>
      <c r="H24" s="1">
        <f t="shared" si="0"/>
        <v>6</v>
      </c>
      <c r="I24" s="1">
        <f t="shared" si="1"/>
        <v>3.2863353450309964</v>
      </c>
      <c r="J24" s="1">
        <f t="shared" si="2"/>
        <v>40</v>
      </c>
      <c r="K24" s="1">
        <f t="shared" si="3"/>
        <v>36</v>
      </c>
      <c r="L24" s="1">
        <f t="shared" si="4"/>
        <v>118.30807242111587</v>
      </c>
    </row>
    <row r="25" spans="1:12" x14ac:dyDescent="0.3">
      <c r="A25" s="12" t="s">
        <v>10</v>
      </c>
      <c r="B25" s="12"/>
      <c r="G25" s="1">
        <v>19</v>
      </c>
      <c r="H25" s="1">
        <f t="shared" si="0"/>
        <v>6.333333333333333</v>
      </c>
      <c r="I25" s="1">
        <f t="shared" si="1"/>
        <v>3.3763886032268267</v>
      </c>
      <c r="J25" s="1">
        <f t="shared" si="2"/>
        <v>41.333333333333336</v>
      </c>
      <c r="K25" s="1">
        <f t="shared" si="3"/>
        <v>34.838709677419352</v>
      </c>
      <c r="L25" s="1">
        <f t="shared" si="4"/>
        <v>117.62902230596686</v>
      </c>
    </row>
    <row r="26" spans="1:12" x14ac:dyDescent="0.3">
      <c r="G26" s="1">
        <v>20</v>
      </c>
      <c r="H26" s="1">
        <f t="shared" si="0"/>
        <v>6.666666666666667</v>
      </c>
      <c r="I26" s="1">
        <f t="shared" si="1"/>
        <v>3.4641016151377544</v>
      </c>
      <c r="J26" s="1">
        <f t="shared" si="2"/>
        <v>42.666666666666664</v>
      </c>
      <c r="K26" s="1">
        <f t="shared" si="3"/>
        <v>33.75</v>
      </c>
      <c r="L26" s="1">
        <f t="shared" si="4"/>
        <v>116.91342951089921</v>
      </c>
    </row>
    <row r="27" spans="1:12" x14ac:dyDescent="0.3">
      <c r="A27" s="3" t="s">
        <v>3</v>
      </c>
      <c r="B27" s="1">
        <f>3.6</f>
        <v>3.6</v>
      </c>
      <c r="G27" s="1">
        <v>21</v>
      </c>
      <c r="H27" s="1">
        <f t="shared" si="0"/>
        <v>7</v>
      </c>
      <c r="I27" s="1">
        <f t="shared" si="1"/>
        <v>3.5496478698597698</v>
      </c>
      <c r="J27" s="1">
        <f t="shared" si="2"/>
        <v>44</v>
      </c>
      <c r="K27" s="1">
        <f t="shared" si="3"/>
        <v>32.727272727272727</v>
      </c>
      <c r="L27" s="1">
        <f t="shared" si="4"/>
        <v>116.17029392268337</v>
      </c>
    </row>
    <row r="28" spans="1:12" x14ac:dyDescent="0.3">
      <c r="A28" s="4" t="s">
        <v>20</v>
      </c>
      <c r="B28" s="1">
        <f>B27^2/2/B19</f>
        <v>21.6</v>
      </c>
      <c r="G28" s="1">
        <v>22</v>
      </c>
      <c r="H28" s="1">
        <f t="shared" si="0"/>
        <v>7.333333333333333</v>
      </c>
      <c r="I28" s="1">
        <f t="shared" si="1"/>
        <v>3.6331804249169899</v>
      </c>
      <c r="J28" s="1">
        <f t="shared" si="2"/>
        <v>45.333333333333336</v>
      </c>
      <c r="K28" s="1">
        <f t="shared" si="3"/>
        <v>31.764705882352938</v>
      </c>
      <c r="L28" s="1">
        <f t="shared" si="4"/>
        <v>115.40690761501025</v>
      </c>
    </row>
    <row r="29" spans="1:12" x14ac:dyDescent="0.3">
      <c r="A29" s="4" t="s">
        <v>19</v>
      </c>
      <c r="B29" s="1">
        <f>2*B28/B11</f>
        <v>7.2</v>
      </c>
      <c r="G29" s="1">
        <v>23</v>
      </c>
      <c r="H29" s="1">
        <f t="shared" si="0"/>
        <v>7.666666666666667</v>
      </c>
      <c r="I29" s="1">
        <f t="shared" si="1"/>
        <v>3.714835124201342</v>
      </c>
      <c r="J29" s="1">
        <f t="shared" si="2"/>
        <v>46.666666666666664</v>
      </c>
      <c r="K29" s="1">
        <f t="shared" si="3"/>
        <v>30.857142857142858</v>
      </c>
      <c r="L29" s="1">
        <f t="shared" si="4"/>
        <v>114.62919811821284</v>
      </c>
    </row>
    <row r="30" spans="1:12" x14ac:dyDescent="0.3">
      <c r="A30" s="4" t="s">
        <v>13</v>
      </c>
      <c r="B30" s="1">
        <f>B28+B29+B15</f>
        <v>44.8</v>
      </c>
      <c r="G30" s="1">
        <v>24</v>
      </c>
      <c r="H30" s="1">
        <f t="shared" si="0"/>
        <v>8</v>
      </c>
      <c r="I30" s="1">
        <f t="shared" si="1"/>
        <v>3.7947331922020551</v>
      </c>
      <c r="J30" s="1">
        <f t="shared" si="2"/>
        <v>48</v>
      </c>
      <c r="K30" s="1">
        <f t="shared" si="3"/>
        <v>30</v>
      </c>
      <c r="L30" s="1">
        <f t="shared" si="4"/>
        <v>113.84199576606166</v>
      </c>
    </row>
    <row r="31" spans="1:12" x14ac:dyDescent="0.3">
      <c r="A31" s="4" t="s">
        <v>7</v>
      </c>
      <c r="B31" s="1">
        <f>24*60/B30</f>
        <v>32.142857142857146</v>
      </c>
      <c r="G31" s="1">
        <v>25</v>
      </c>
      <c r="H31" s="1">
        <f t="shared" si="0"/>
        <v>8.3333333333333339</v>
      </c>
      <c r="I31" s="1">
        <f t="shared" si="1"/>
        <v>3.872983346207417</v>
      </c>
      <c r="J31" s="1">
        <f t="shared" si="2"/>
        <v>49.333333333333336</v>
      </c>
      <c r="K31" s="1">
        <f t="shared" si="3"/>
        <v>29.189189189189189</v>
      </c>
      <c r="L31" s="1">
        <f t="shared" si="4"/>
        <v>113.04924361902731</v>
      </c>
    </row>
    <row r="32" spans="1:12" x14ac:dyDescent="0.3">
      <c r="A32" s="5" t="s">
        <v>8</v>
      </c>
      <c r="B32" s="1">
        <f>B27*B31</f>
        <v>115.71428571428572</v>
      </c>
      <c r="G32" s="1">
        <v>26</v>
      </c>
      <c r="H32" s="1">
        <f t="shared" si="0"/>
        <v>8.6666666666666661</v>
      </c>
      <c r="I32" s="1">
        <f t="shared" si="1"/>
        <v>3.9496835316262997</v>
      </c>
      <c r="J32" s="1">
        <f t="shared" si="2"/>
        <v>50.666666666666664</v>
      </c>
      <c r="K32" s="1">
        <f t="shared" si="3"/>
        <v>28.421052631578949</v>
      </c>
      <c r="L32" s="1">
        <f t="shared" si="4"/>
        <v>112.25416353043168</v>
      </c>
    </row>
    <row r="33" spans="1:12" x14ac:dyDescent="0.3">
      <c r="G33" s="1">
        <v>27</v>
      </c>
      <c r="H33" s="1">
        <f t="shared" si="0"/>
        <v>9</v>
      </c>
      <c r="I33" s="1">
        <f t="shared" si="1"/>
        <v>4.0249223594996213</v>
      </c>
      <c r="J33" s="1">
        <f t="shared" si="2"/>
        <v>52</v>
      </c>
      <c r="K33" s="1">
        <f t="shared" si="3"/>
        <v>27.692307692307693</v>
      </c>
      <c r="L33" s="1">
        <f t="shared" si="4"/>
        <v>111.45938841691259</v>
      </c>
    </row>
    <row r="34" spans="1:12" x14ac:dyDescent="0.3">
      <c r="A34" s="12" t="s">
        <v>11</v>
      </c>
      <c r="B34" s="12"/>
      <c r="G34" s="1">
        <v>28</v>
      </c>
      <c r="H34" s="1">
        <f t="shared" si="0"/>
        <v>9.3333333333333339</v>
      </c>
      <c r="I34" s="1">
        <f t="shared" si="1"/>
        <v>4.0987803063838397</v>
      </c>
      <c r="J34" s="1">
        <f t="shared" si="2"/>
        <v>53.333333333333336</v>
      </c>
      <c r="K34" s="1">
        <f t="shared" si="3"/>
        <v>27</v>
      </c>
      <c r="L34" s="1">
        <f t="shared" si="4"/>
        <v>110.66706827236368</v>
      </c>
    </row>
    <row r="35" spans="1:12" x14ac:dyDescent="0.3">
      <c r="G35" s="1">
        <v>29</v>
      </c>
      <c r="H35" s="1">
        <f t="shared" si="0"/>
        <v>9.6666666666666661</v>
      </c>
      <c r="I35" s="1">
        <f t="shared" si="1"/>
        <v>4.1713307229228418</v>
      </c>
      <c r="J35" s="1">
        <f t="shared" si="2"/>
        <v>54.666666666666664</v>
      </c>
      <c r="K35" s="1">
        <f t="shared" si="3"/>
        <v>26.341463414634148</v>
      </c>
      <c r="L35" s="1">
        <f t="shared" si="4"/>
        <v>109.87895562821146</v>
      </c>
    </row>
    <row r="36" spans="1:12" x14ac:dyDescent="0.3">
      <c r="A36" s="5" t="s">
        <v>18</v>
      </c>
      <c r="B36" s="1">
        <f>B15/(2/B11+1)</f>
        <v>12</v>
      </c>
      <c r="G36" s="1">
        <v>30</v>
      </c>
      <c r="H36" s="1">
        <f t="shared" si="0"/>
        <v>10</v>
      </c>
      <c r="I36" s="1">
        <f t="shared" si="1"/>
        <v>4.2426406871192848</v>
      </c>
      <c r="J36" s="1">
        <f t="shared" si="2"/>
        <v>56</v>
      </c>
      <c r="K36" s="1">
        <f t="shared" si="3"/>
        <v>25.714285714285715</v>
      </c>
      <c r="L36" s="1">
        <f t="shared" si="4"/>
        <v>109.09647481163876</v>
      </c>
    </row>
    <row r="37" spans="1:12" x14ac:dyDescent="0.3">
      <c r="A37" s="4" t="s">
        <v>19</v>
      </c>
      <c r="B37" s="1">
        <f>2*B36/B11</f>
        <v>4</v>
      </c>
      <c r="G37" s="1">
        <v>31</v>
      </c>
      <c r="H37" s="1">
        <f t="shared" si="0"/>
        <v>10.333333333333334</v>
      </c>
      <c r="I37" s="1">
        <f t="shared" si="1"/>
        <v>4.3127717305695645</v>
      </c>
      <c r="J37" s="1">
        <f t="shared" si="2"/>
        <v>57.333333333333336</v>
      </c>
      <c r="K37" s="1">
        <f t="shared" si="3"/>
        <v>25.11627906976744</v>
      </c>
      <c r="L37" s="1">
        <f t="shared" si="4"/>
        <v>108.32077834918906</v>
      </c>
    </row>
    <row r="38" spans="1:12" x14ac:dyDescent="0.3">
      <c r="A38" s="4" t="s">
        <v>3</v>
      </c>
      <c r="B38" s="1">
        <f>SQRT(2*B19*B36)</f>
        <v>2.6832815729997477</v>
      </c>
      <c r="G38" s="1">
        <v>32</v>
      </c>
      <c r="H38" s="1">
        <f t="shared" si="0"/>
        <v>10.666666666666666</v>
      </c>
      <c r="I38" s="1">
        <f t="shared" si="1"/>
        <v>4.3817804600413286</v>
      </c>
      <c r="J38" s="1">
        <f t="shared" si="2"/>
        <v>58.666666666666664</v>
      </c>
      <c r="K38" s="1">
        <f t="shared" si="3"/>
        <v>24.545454545454547</v>
      </c>
      <c r="L38" s="1">
        <f t="shared" si="4"/>
        <v>107.55279311010534</v>
      </c>
    </row>
    <row r="39" spans="1:12" x14ac:dyDescent="0.3">
      <c r="A39" s="4" t="s">
        <v>13</v>
      </c>
      <c r="B39" s="1">
        <f>B36+B37+B15</f>
        <v>32</v>
      </c>
      <c r="G39" s="1">
        <v>33</v>
      </c>
      <c r="H39" s="1">
        <f t="shared" si="0"/>
        <v>11</v>
      </c>
      <c r="I39" s="1">
        <f t="shared" si="1"/>
        <v>4.4497190922573981</v>
      </c>
      <c r="J39" s="1">
        <f t="shared" si="2"/>
        <v>60</v>
      </c>
      <c r="K39" s="1">
        <f t="shared" si="3"/>
        <v>24</v>
      </c>
      <c r="L39" s="1">
        <f t="shared" si="4"/>
        <v>106.79325821417756</v>
      </c>
    </row>
    <row r="40" spans="1:12" x14ac:dyDescent="0.3">
      <c r="A40" s="4" t="s">
        <v>7</v>
      </c>
      <c r="B40" s="1">
        <f>24*60/B39</f>
        <v>45</v>
      </c>
      <c r="G40" s="1">
        <v>34</v>
      </c>
      <c r="H40" s="1">
        <f t="shared" si="0"/>
        <v>11.333333333333334</v>
      </c>
      <c r="I40" s="1">
        <f t="shared" si="1"/>
        <v>4.5166359162544856</v>
      </c>
      <c r="J40" s="1">
        <f t="shared" si="2"/>
        <v>61.333333333333336</v>
      </c>
      <c r="K40" s="1">
        <f t="shared" si="3"/>
        <v>23.478260869565215</v>
      </c>
      <c r="L40" s="1">
        <f t="shared" si="4"/>
        <v>106.04275629467053</v>
      </c>
    </row>
    <row r="41" spans="1:12" x14ac:dyDescent="0.3">
      <c r="A41" s="5" t="s">
        <v>8</v>
      </c>
      <c r="B41" s="1">
        <f>B38*B40</f>
        <v>120.74767078498864</v>
      </c>
      <c r="G41" s="1">
        <v>35</v>
      </c>
      <c r="H41" s="1">
        <f t="shared" si="0"/>
        <v>11.666666666666666</v>
      </c>
      <c r="I41" s="1">
        <f t="shared" si="1"/>
        <v>4.5825756949558398</v>
      </c>
      <c r="J41" s="1">
        <f t="shared" si="2"/>
        <v>62.666666666666664</v>
      </c>
      <c r="K41" s="1">
        <f t="shared" si="3"/>
        <v>22.978723404255319</v>
      </c>
      <c r="L41" s="1">
        <f t="shared" si="4"/>
        <v>105.30173937345334</v>
      </c>
    </row>
    <row r="42" spans="1:12" x14ac:dyDescent="0.3">
      <c r="G42" s="1">
        <v>36</v>
      </c>
      <c r="H42" s="1">
        <f t="shared" si="0"/>
        <v>12</v>
      </c>
      <c r="I42" s="1">
        <f t="shared" si="1"/>
        <v>4.6475800154489004</v>
      </c>
      <c r="J42" s="1">
        <f t="shared" si="2"/>
        <v>64</v>
      </c>
      <c r="K42" s="1">
        <f t="shared" si="3"/>
        <v>22.5</v>
      </c>
      <c r="L42" s="1">
        <f t="shared" si="4"/>
        <v>104.57055034760026</v>
      </c>
    </row>
    <row r="43" spans="1:12" x14ac:dyDescent="0.3">
      <c r="G43" s="1">
        <v>37</v>
      </c>
      <c r="H43" s="1">
        <f t="shared" si="0"/>
        <v>12.333333333333334</v>
      </c>
      <c r="I43" s="1">
        <f t="shared" si="1"/>
        <v>4.7116875957558984</v>
      </c>
      <c r="J43" s="1">
        <f t="shared" si="2"/>
        <v>65.333333333333329</v>
      </c>
      <c r="K43" s="1">
        <f t="shared" si="3"/>
        <v>22.040816326530614</v>
      </c>
      <c r="L43" s="1">
        <f t="shared" si="4"/>
        <v>103.84944088604838</v>
      </c>
    </row>
    <row r="44" spans="1:12" x14ac:dyDescent="0.3">
      <c r="G44" s="1">
        <v>38</v>
      </c>
      <c r="H44" s="1">
        <f t="shared" si="0"/>
        <v>12.666666666666666</v>
      </c>
      <c r="I44" s="1">
        <f t="shared" si="1"/>
        <v>4.7749345545253288</v>
      </c>
      <c r="J44" s="1">
        <f t="shared" si="2"/>
        <v>66.666666666666671</v>
      </c>
      <c r="K44" s="1">
        <f t="shared" si="3"/>
        <v>21.599999999999998</v>
      </c>
      <c r="L44" s="1">
        <f t="shared" si="4"/>
        <v>103.13858637774709</v>
      </c>
    </row>
    <row r="45" spans="1:12" x14ac:dyDescent="0.3">
      <c r="G45" s="1">
        <v>39</v>
      </c>
      <c r="H45" s="1">
        <f t="shared" si="0"/>
        <v>13</v>
      </c>
      <c r="I45" s="1">
        <f t="shared" si="1"/>
        <v>4.8373546489791295</v>
      </c>
      <c r="J45" s="1">
        <f t="shared" si="2"/>
        <v>68</v>
      </c>
      <c r="K45" s="1">
        <f t="shared" si="3"/>
        <v>21.176470588235293</v>
      </c>
      <c r="L45" s="1">
        <f t="shared" si="4"/>
        <v>102.4380984489698</v>
      </c>
    </row>
    <row r="46" spans="1:12" x14ac:dyDescent="0.3">
      <c r="G46" s="1">
        <v>40</v>
      </c>
      <c r="H46" s="1">
        <f t="shared" si="0"/>
        <v>13.333333333333334</v>
      </c>
      <c r="I46" s="1">
        <f t="shared" si="1"/>
        <v>4.8989794855663558</v>
      </c>
      <c r="J46" s="1">
        <f t="shared" si="2"/>
        <v>69.333333333333329</v>
      </c>
      <c r="K46" s="1">
        <f t="shared" si="3"/>
        <v>20.76923076923077</v>
      </c>
      <c r="L46" s="1">
        <f t="shared" si="4"/>
        <v>101.74803546945509</v>
      </c>
    </row>
    <row r="47" spans="1:12" x14ac:dyDescent="0.3">
      <c r="G47" s="1">
        <v>41</v>
      </c>
      <c r="H47" s="1">
        <f t="shared" si="0"/>
        <v>13.666666666666666</v>
      </c>
      <c r="I47" s="1">
        <f t="shared" si="1"/>
        <v>4.9598387070548977</v>
      </c>
      <c r="J47" s="1">
        <f t="shared" si="2"/>
        <v>70.666666666666671</v>
      </c>
      <c r="K47" s="1">
        <f t="shared" si="3"/>
        <v>20.377358490566035</v>
      </c>
      <c r="L47" s="1">
        <f t="shared" si="4"/>
        <v>101.06841138904319</v>
      </c>
    </row>
    <row r="48" spans="1:12" x14ac:dyDescent="0.3">
      <c r="G48" s="1">
        <v>42</v>
      </c>
      <c r="H48" s="1">
        <f t="shared" si="0"/>
        <v>14</v>
      </c>
      <c r="I48" s="1">
        <f t="shared" si="1"/>
        <v>5.0199601592044534</v>
      </c>
      <c r="J48" s="1">
        <f t="shared" si="2"/>
        <v>72</v>
      </c>
      <c r="K48" s="1">
        <f t="shared" si="3"/>
        <v>20</v>
      </c>
      <c r="L48" s="1">
        <f t="shared" si="4"/>
        <v>100.39920318408906</v>
      </c>
    </row>
    <row r="49" spans="7:12" x14ac:dyDescent="0.3">
      <c r="G49" s="1">
        <v>43</v>
      </c>
      <c r="H49" s="1">
        <f t="shared" si="0"/>
        <v>14.333333333333334</v>
      </c>
      <c r="I49" s="1">
        <f t="shared" si="1"/>
        <v>5.0793700396801178</v>
      </c>
      <c r="J49" s="1">
        <f t="shared" si="2"/>
        <v>73.333333333333329</v>
      </c>
      <c r="K49" s="1">
        <f t="shared" si="3"/>
        <v>19.636363636363637</v>
      </c>
      <c r="L49" s="1">
        <f t="shared" si="4"/>
        <v>99.740357142809586</v>
      </c>
    </row>
    <row r="50" spans="7:12" x14ac:dyDescent="0.3">
      <c r="G50" s="1">
        <v>44</v>
      </c>
      <c r="H50" s="1">
        <f t="shared" si="0"/>
        <v>14.666666666666666</v>
      </c>
      <c r="I50" s="1">
        <f t="shared" si="1"/>
        <v>5.1380930314660516</v>
      </c>
      <c r="J50" s="1">
        <f t="shared" si="2"/>
        <v>74.666666666666671</v>
      </c>
      <c r="K50" s="1">
        <f t="shared" si="3"/>
        <v>19.285714285714285</v>
      </c>
      <c r="L50" s="1">
        <f t="shared" si="4"/>
        <v>99.091794178273844</v>
      </c>
    </row>
    <row r="51" spans="7:12" x14ac:dyDescent="0.3">
      <c r="G51" s="1">
        <v>45</v>
      </c>
      <c r="H51" s="1">
        <f t="shared" si="0"/>
        <v>15</v>
      </c>
      <c r="I51" s="1">
        <f t="shared" si="1"/>
        <v>5.196152422706632</v>
      </c>
      <c r="J51" s="1">
        <f t="shared" si="2"/>
        <v>76</v>
      </c>
      <c r="K51" s="1">
        <f t="shared" si="3"/>
        <v>18.94736842105263</v>
      </c>
      <c r="L51" s="1">
        <f t="shared" si="4"/>
        <v>98.453414324967753</v>
      </c>
    </row>
    <row r="52" spans="7:12" x14ac:dyDescent="0.3">
      <c r="G52" s="1">
        <v>46</v>
      </c>
      <c r="H52" s="1">
        <f t="shared" si="0"/>
        <v>15.333333333333334</v>
      </c>
      <c r="I52" s="1">
        <f t="shared" si="1"/>
        <v>5.253570214625479</v>
      </c>
      <c r="J52" s="1">
        <f t="shared" si="2"/>
        <v>77.333333333333329</v>
      </c>
      <c r="K52" s="1">
        <f t="shared" si="3"/>
        <v>18.620689655172416</v>
      </c>
      <c r="L52" s="1">
        <f t="shared" si="4"/>
        <v>97.825100548198591</v>
      </c>
    </row>
    <row r="53" spans="7:12" x14ac:dyDescent="0.3">
      <c r="G53" s="1">
        <v>47</v>
      </c>
      <c r="H53" s="1">
        <f t="shared" si="0"/>
        <v>15.666666666666666</v>
      </c>
      <c r="I53" s="1">
        <f t="shared" si="1"/>
        <v>5.3103672189407014</v>
      </c>
      <c r="J53" s="1">
        <f t="shared" si="2"/>
        <v>78.666666666666671</v>
      </c>
      <c r="K53" s="1">
        <f t="shared" si="3"/>
        <v>18.305084745762709</v>
      </c>
      <c r="L53" s="1">
        <f t="shared" si="4"/>
        <v>97.206721973829772</v>
      </c>
    </row>
    <row r="54" spans="7:12" x14ac:dyDescent="0.3">
      <c r="G54" s="1">
        <v>48</v>
      </c>
      <c r="H54" s="1">
        <f t="shared" si="0"/>
        <v>16</v>
      </c>
      <c r="I54" s="1">
        <f t="shared" si="1"/>
        <v>5.3665631459994954</v>
      </c>
      <c r="J54" s="1">
        <f t="shared" si="2"/>
        <v>80</v>
      </c>
      <c r="K54" s="1">
        <f t="shared" si="3"/>
        <v>18</v>
      </c>
      <c r="L54" s="1">
        <f t="shared" si="4"/>
        <v>96.598136627990911</v>
      </c>
    </row>
  </sheetData>
  <mergeCells count="4">
    <mergeCell ref="A1:B1"/>
    <mergeCell ref="A17:B17"/>
    <mergeCell ref="A25:B25"/>
    <mergeCell ref="A34:B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15FE-EDB7-41E9-8B67-B65380648674}">
  <dimension ref="A1:D36"/>
  <sheetViews>
    <sheetView tabSelected="1" workbookViewId="0">
      <selection activeCell="F10" sqref="F10"/>
    </sheetView>
  </sheetViews>
  <sheetFormatPr defaultRowHeight="14.4" x14ac:dyDescent="0.3"/>
  <cols>
    <col min="1" max="1" width="16.5546875" bestFit="1" customWidth="1"/>
  </cols>
  <sheetData>
    <row r="1" spans="1:4" ht="18" x14ac:dyDescent="0.35">
      <c r="A1" s="11" t="s">
        <v>21</v>
      </c>
      <c r="B1" s="11"/>
      <c r="C1" s="11"/>
      <c r="D1" s="11"/>
    </row>
    <row r="2" spans="1:4" x14ac:dyDescent="0.3">
      <c r="A2" t="s">
        <v>49</v>
      </c>
    </row>
    <row r="4" spans="1:4" x14ac:dyDescent="0.3">
      <c r="A4" s="2" t="s">
        <v>1</v>
      </c>
    </row>
    <row r="6" spans="1:4" x14ac:dyDescent="0.3">
      <c r="A6" s="3" t="s">
        <v>22</v>
      </c>
      <c r="B6" s="1">
        <v>100</v>
      </c>
    </row>
    <row r="7" spans="1:4" x14ac:dyDescent="0.3">
      <c r="A7" s="3" t="s">
        <v>23</v>
      </c>
      <c r="B7" s="1">
        <v>0.5</v>
      </c>
    </row>
    <row r="8" spans="1:4" x14ac:dyDescent="0.3">
      <c r="A8" s="3" t="s">
        <v>24</v>
      </c>
      <c r="B8" s="7">
        <v>1E-3</v>
      </c>
    </row>
    <row r="9" spans="1:4" x14ac:dyDescent="0.3">
      <c r="A9" s="3" t="s">
        <v>25</v>
      </c>
      <c r="B9" s="7">
        <v>5.0000000000000002E-5</v>
      </c>
    </row>
    <row r="10" spans="1:4" x14ac:dyDescent="0.3">
      <c r="A10" s="3" t="s">
        <v>27</v>
      </c>
      <c r="B10" s="1">
        <v>2200</v>
      </c>
    </row>
    <row r="11" spans="1:4" x14ac:dyDescent="0.3">
      <c r="A11" s="3" t="s">
        <v>26</v>
      </c>
      <c r="B11" s="1">
        <v>1000</v>
      </c>
    </row>
    <row r="12" spans="1:4" x14ac:dyDescent="0.3">
      <c r="A12" s="3" t="s">
        <v>28</v>
      </c>
      <c r="B12" s="1">
        <v>1</v>
      </c>
      <c r="C12" s="4" t="s">
        <v>36</v>
      </c>
      <c r="D12" s="1">
        <f>B12*2*PI()</f>
        <v>6.2831853071795862</v>
      </c>
    </row>
    <row r="13" spans="1:4" x14ac:dyDescent="0.3">
      <c r="A13" s="3" t="s">
        <v>29</v>
      </c>
      <c r="B13" s="7">
        <v>1E-3</v>
      </c>
    </row>
    <row r="14" spans="1:4" x14ac:dyDescent="0.3">
      <c r="A14" s="3" t="s">
        <v>30</v>
      </c>
      <c r="B14" s="1">
        <v>0.4</v>
      </c>
    </row>
    <row r="15" spans="1:4" x14ac:dyDescent="0.3">
      <c r="A15" s="3" t="s">
        <v>31</v>
      </c>
      <c r="B15" s="1">
        <v>0.25</v>
      </c>
    </row>
    <row r="16" spans="1:4" x14ac:dyDescent="0.3">
      <c r="A16" s="3" t="s">
        <v>32</v>
      </c>
      <c r="B16" s="1">
        <v>0.4</v>
      </c>
    </row>
    <row r="18" spans="1:4" x14ac:dyDescent="0.3">
      <c r="A18" s="8" t="s">
        <v>33</v>
      </c>
    </row>
    <row r="20" spans="1:4" x14ac:dyDescent="0.3">
      <c r="A20" s="4" t="s">
        <v>34</v>
      </c>
      <c r="B20" s="1">
        <f>SQRT(1-B7)*B15</f>
        <v>0.17677669529663689</v>
      </c>
    </row>
    <row r="21" spans="1:4" x14ac:dyDescent="0.3">
      <c r="A21" s="4" t="s">
        <v>35</v>
      </c>
      <c r="B21" s="9">
        <f>(B10-B11)*B8^2*D12^2/18/B13</f>
        <v>2.6318945069571615</v>
      </c>
    </row>
    <row r="22" spans="1:4" x14ac:dyDescent="0.3">
      <c r="A22" s="5" t="s">
        <v>37</v>
      </c>
      <c r="B22" s="1">
        <f>1/B21*LN(B15/B20)</f>
        <v>0.1316821739487804</v>
      </c>
    </row>
    <row r="23" spans="1:4" x14ac:dyDescent="0.3">
      <c r="A23" s="4" t="s">
        <v>38</v>
      </c>
      <c r="B23" s="1">
        <f>B6*B7*PI()*B15^2*B14</f>
        <v>3.9269908169872418</v>
      </c>
    </row>
    <row r="24" spans="1:4" x14ac:dyDescent="0.3">
      <c r="A24" s="4" t="s">
        <v>39</v>
      </c>
      <c r="B24" s="1">
        <f>B23/B10</f>
        <v>1.7849958259032917E-3</v>
      </c>
    </row>
    <row r="25" spans="1:4" x14ac:dyDescent="0.3">
      <c r="A25" s="4" t="s">
        <v>40</v>
      </c>
      <c r="B25" s="1">
        <f>2*PI()*B15*B14</f>
        <v>0.62831853071795862</v>
      </c>
    </row>
    <row r="26" spans="1:4" x14ac:dyDescent="0.3">
      <c r="A26" s="4" t="s">
        <v>41</v>
      </c>
      <c r="B26" s="1">
        <f>B24/B25</f>
        <v>2.840909090909091E-3</v>
      </c>
    </row>
    <row r="28" spans="1:4" x14ac:dyDescent="0.3">
      <c r="A28" s="8" t="s">
        <v>0</v>
      </c>
    </row>
    <row r="29" spans="1:4" x14ac:dyDescent="0.3">
      <c r="A29" s="10"/>
    </row>
    <row r="30" spans="1:4" x14ac:dyDescent="0.3">
      <c r="A30" s="3" t="s">
        <v>47</v>
      </c>
      <c r="B30" s="1">
        <f>0.98</f>
        <v>0.98</v>
      </c>
      <c r="C30" s="6"/>
    </row>
    <row r="31" spans="1:4" x14ac:dyDescent="0.3">
      <c r="A31" s="4" t="s">
        <v>42</v>
      </c>
      <c r="B31" s="1">
        <f>B11*B16+B10*(1-B16)</f>
        <v>1720</v>
      </c>
      <c r="D31" s="6"/>
    </row>
    <row r="32" spans="1:4" x14ac:dyDescent="0.3">
      <c r="A32" s="4" t="s">
        <v>43</v>
      </c>
      <c r="B32" s="9">
        <f>32*B13/B9^2*B6/B31/B25^2</f>
        <v>1885045.2770667493</v>
      </c>
    </row>
    <row r="33" spans="1:2" x14ac:dyDescent="0.3">
      <c r="A33" s="4" t="s">
        <v>44</v>
      </c>
      <c r="B33" s="1">
        <f>1/2*B11*D12^2/PI()/B14</f>
        <v>15707.963267948966</v>
      </c>
    </row>
    <row r="34" spans="1:2" x14ac:dyDescent="0.3">
      <c r="A34" s="4" t="s">
        <v>45</v>
      </c>
      <c r="B34" s="1">
        <f>B33/B32</f>
        <v>8.3329368578305765E-3</v>
      </c>
    </row>
    <row r="35" spans="1:2" x14ac:dyDescent="0.3">
      <c r="A35" s="4" t="s">
        <v>46</v>
      </c>
      <c r="B35" s="1">
        <f>PI()*B15^2*B14*B7/B34</f>
        <v>4.7126131926668728</v>
      </c>
    </row>
    <row r="36" spans="1:2" x14ac:dyDescent="0.3">
      <c r="A36" s="5" t="s">
        <v>48</v>
      </c>
      <c r="B36" s="1">
        <f>B35*(LN(1/(1-B30))-B30)</f>
        <v>13.817490296583451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Cake filtration</vt:lpstr>
      <vt:lpstr>Centrifugal filtration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2018-11-29T20:01:17Z</dcterms:modified>
</cp:coreProperties>
</file>